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aith\Documents\Claude\Projects\Ascend Curriculum\FF102 Signature Edition\"/>
    </mc:Choice>
  </mc:AlternateContent>
  <xr:revisionPtr revIDLastSave="0" documentId="13_ncr:1_{B20210D2-AA29-451F-8A2D-72F0D47DA266}" xr6:coauthVersionLast="47" xr6:coauthVersionMax="47" xr10:uidLastSave="{00000000-0000-0000-0000-000000000000}"/>
  <bookViews>
    <workbookView xWindow="-120" yWindow="-120" windowWidth="38640" windowHeight="15720" tabRatio="500" xr2:uid="{00000000-000D-0000-FFFF-FFFF00000000}"/>
  </bookViews>
  <sheets>
    <sheet name="Start Here" sheetId="1" r:id="rId1"/>
    <sheet name="Meet Green Peak" sheetId="2" r:id="rId2"/>
    <sheet name="1. Tech Stack" sheetId="3" r:id="rId3"/>
    <sheet name="2. Tax Readiness" sheetId="4" r:id="rId4"/>
    <sheet name="3. KPI Dashboard" sheetId="5" r:id="rId5"/>
    <sheet name="4. Break-Even" sheetId="6" r:id="rId6"/>
    <sheet name="5. Projection" sheetId="7" r:id="rId7"/>
    <sheet name="6. CEO Monthly Review" sheetId="8" r:id="rId8"/>
    <sheet name="Definitions" sheetId="9" r:id="rId9"/>
  </sheets>
  <definedNames>
    <definedName name="_xlnm.Print_Area" localSheetId="4">'3. KPI Dashboard'!$A$1:$F$29</definedName>
    <definedName name="_xlnm.Print_Area" localSheetId="6">'5. Projection'!$A$1:$N$40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5" i="7" l="1"/>
  <c r="N22" i="7"/>
  <c r="M22" i="7"/>
  <c r="L22" i="7"/>
  <c r="K22" i="7"/>
  <c r="J22" i="7"/>
  <c r="I22" i="7"/>
  <c r="H22" i="7"/>
  <c r="G22" i="7"/>
  <c r="F22" i="7"/>
  <c r="E22" i="7"/>
  <c r="D22" i="7"/>
  <c r="C22" i="7"/>
  <c r="B22" i="7"/>
  <c r="B20" i="7"/>
  <c r="B19" i="7"/>
  <c r="C19" i="7" s="1"/>
  <c r="C5" i="7"/>
  <c r="C15" i="6"/>
  <c r="B15" i="6"/>
  <c r="C14" i="6"/>
  <c r="B14" i="6"/>
  <c r="C13" i="6"/>
  <c r="B13" i="6"/>
  <c r="C12" i="6"/>
  <c r="B12" i="6"/>
  <c r="C11" i="6"/>
  <c r="B11" i="6"/>
  <c r="C9" i="6"/>
  <c r="B9" i="6"/>
  <c r="F25" i="5"/>
  <c r="D25" i="5"/>
  <c r="F24" i="5"/>
  <c r="D24" i="5"/>
  <c r="C23" i="5"/>
  <c r="B23" i="5"/>
  <c r="F23" i="5" s="1"/>
  <c r="F22" i="5"/>
  <c r="D22" i="5"/>
  <c r="F21" i="5"/>
  <c r="D21" i="5"/>
  <c r="F20" i="5"/>
  <c r="D20" i="5"/>
  <c r="C19" i="5"/>
  <c r="B19" i="5"/>
  <c r="F19" i="5" s="1"/>
  <c r="F18" i="5"/>
  <c r="D18" i="5"/>
  <c r="F17" i="5"/>
  <c r="D17" i="5"/>
  <c r="F13" i="5"/>
  <c r="D13" i="5"/>
  <c r="F12" i="5"/>
  <c r="D12" i="5"/>
  <c r="C11" i="5"/>
  <c r="B11" i="5"/>
  <c r="F11" i="5" s="1"/>
  <c r="F10" i="5"/>
  <c r="D10" i="5"/>
  <c r="F9" i="5"/>
  <c r="D9" i="5"/>
  <c r="F8" i="5"/>
  <c r="D8" i="5"/>
  <c r="C7" i="5"/>
  <c r="B7" i="5"/>
  <c r="F7" i="5" s="1"/>
  <c r="F6" i="5"/>
  <c r="D6" i="5"/>
  <c r="F5" i="5"/>
  <c r="D5" i="5"/>
  <c r="B14" i="4"/>
  <c r="D19" i="5" l="1"/>
  <c r="D19" i="7"/>
  <c r="C20" i="7"/>
  <c r="C21" i="7" s="1"/>
  <c r="C23" i="7" s="1"/>
  <c r="B21" i="7"/>
  <c r="D7" i="5"/>
  <c r="D23" i="5"/>
  <c r="D11" i="5"/>
  <c r="C27" i="7" l="1"/>
  <c r="C24" i="7"/>
  <c r="B23" i="7"/>
  <c r="E19" i="7"/>
  <c r="D20" i="7"/>
  <c r="F19" i="7" l="1"/>
  <c r="E20" i="7"/>
  <c r="E21" i="7" s="1"/>
  <c r="E23" i="7" s="1"/>
  <c r="D21" i="7"/>
  <c r="B27" i="7"/>
  <c r="B24" i="7"/>
  <c r="B26" i="7"/>
  <c r="E24" i="7" l="1"/>
  <c r="E27" i="7"/>
  <c r="D23" i="7"/>
  <c r="C25" i="7"/>
  <c r="C26" i="7" s="1"/>
  <c r="D25" i="7" s="1"/>
  <c r="G19" i="7"/>
  <c r="F20" i="7"/>
  <c r="F21" i="7" s="1"/>
  <c r="F23" i="7" s="1"/>
  <c r="F24" i="7" l="1"/>
  <c r="F27" i="7"/>
  <c r="H19" i="7"/>
  <c r="G20" i="7"/>
  <c r="G21" i="7" s="1"/>
  <c r="D27" i="7"/>
  <c r="B30" i="7" s="1"/>
  <c r="D24" i="7"/>
  <c r="G23" i="7" l="1"/>
  <c r="I19" i="7"/>
  <c r="H20" i="7"/>
  <c r="H21" i="7"/>
  <c r="H23" i="7" s="1"/>
  <c r="D26" i="7"/>
  <c r="E25" i="7" l="1"/>
  <c r="E26" i="7" s="1"/>
  <c r="F25" i="7" s="1"/>
  <c r="F26" i="7" s="1"/>
  <c r="G25" i="7" s="1"/>
  <c r="H24" i="7"/>
  <c r="H27" i="7"/>
  <c r="J19" i="7"/>
  <c r="I20" i="7"/>
  <c r="I21" i="7" s="1"/>
  <c r="I23" i="7" s="1"/>
  <c r="G24" i="7"/>
  <c r="G27" i="7"/>
  <c r="I24" i="7" l="1"/>
  <c r="I27" i="7"/>
  <c r="J20" i="7"/>
  <c r="J21" i="7" s="1"/>
  <c r="J23" i="7" s="1"/>
  <c r="K19" i="7"/>
  <c r="G26" i="7"/>
  <c r="H25" i="7" l="1"/>
  <c r="H26" i="7" s="1"/>
  <c r="I25" i="7" s="1"/>
  <c r="I26" i="7" s="1"/>
  <c r="J25" i="7" s="1"/>
  <c r="J24" i="7"/>
  <c r="J27" i="7"/>
  <c r="K20" i="7"/>
  <c r="K21" i="7" s="1"/>
  <c r="K23" i="7" s="1"/>
  <c r="L19" i="7"/>
  <c r="K27" i="7" l="1"/>
  <c r="K24" i="7"/>
  <c r="L20" i="7"/>
  <c r="L21" i="7"/>
  <c r="L23" i="7" s="1"/>
  <c r="M19" i="7"/>
  <c r="J26" i="7"/>
  <c r="M20" i="7" l="1"/>
  <c r="N20" i="7" s="1"/>
  <c r="N19" i="7"/>
  <c r="L27" i="7"/>
  <c r="L24" i="7"/>
  <c r="K25" i="7"/>
  <c r="K26" i="7" s="1"/>
  <c r="L25" i="7" s="1"/>
  <c r="L26" i="7" s="1"/>
  <c r="M25" i="7" s="1"/>
  <c r="M21" i="7" l="1"/>
  <c r="M23" i="7" l="1"/>
  <c r="N21" i="7"/>
  <c r="M27" i="7" l="1"/>
  <c r="M24" i="7"/>
  <c r="N24" i="7" s="1"/>
  <c r="B35" i="7" s="1"/>
  <c r="N23" i="7"/>
  <c r="B34" i="7" s="1"/>
  <c r="M26" i="7"/>
  <c r="N26" i="7" l="1"/>
  <c r="B31" i="7"/>
  <c r="B32" i="7"/>
  <c r="B33" i="7"/>
  <c r="B36" i="7"/>
</calcChain>
</file>

<file path=xl/sharedStrings.xml><?xml version="1.0" encoding="utf-8"?>
<sst xmlns="http://schemas.openxmlformats.org/spreadsheetml/2006/main" count="324" uniqueCount="287">
  <si>
    <t>Financial Foundations 102 — Your CFO Toolkit</t>
  </si>
  <si>
    <t>A practical set of tools to help you use financial information to make better business decisions.</t>
  </si>
  <si>
    <t>Welcome</t>
  </si>
  <si>
    <t>This workbook belongs to you. Each tab is a tool you can use in your business every month. The examples use Green Peak Co., a fictional cannabis retailer, so you can see how each tool works with real-looking numbers.</t>
  </si>
  <si>
    <t>How the tools connect</t>
  </si>
  <si>
    <t>The tabs build on each other. Your technology stack (Tool 1) produces reliable records. Reliable records keep you tax-ready (Tool 2). Tax-ready books give you numbers you can trust on your KPI dashboard (Tool 3). Your dashboard's margins feed your break-even math (Tool 4). Your break-even math becomes the assumptions in your 12-month projection (Tool 5). And your monthly CEO review (Tool 6) pulls all of it together into one leadership habit.</t>
  </si>
  <si>
    <t>How to use this workbook</t>
  </si>
  <si>
    <t>Yellow cells with blue text are yours to fill in or change. Everything else calculates automatically. Start with the example, then enter your own numbers.</t>
  </si>
  <si>
    <t>A note on the projection</t>
  </si>
  <si>
    <t>Tool 5 is a simplified planning model. It answers a few important questions — when your plan becomes profitable, whether your cash stays positive, and whether you can afford a new expense. It is a thinking tool, not a prediction of the future, and it is not accounting, tax, or investment advice.</t>
  </si>
  <si>
    <t>A note on taxes</t>
  </si>
  <si>
    <t>Tax content in this toolkit is current as of July 20, 2026. Federal treatment of cannabis changed in April 2026 and depends on your license and circumstances — confirm how it applies to your business with a cannabis-experienced CPA or tax counsel.</t>
  </si>
  <si>
    <t>Key</t>
  </si>
  <si>
    <t>Yellow cell + blue text = enter your number here.   Black text = automatic calculation. Please don't type over the calculations.</t>
  </si>
  <si>
    <t>Jump to a tool</t>
  </si>
  <si>
    <t>Meet Green Peak</t>
  </si>
  <si>
    <t>The case company behind every example</t>
  </si>
  <si>
    <t>1. Tech Stack</t>
  </si>
  <si>
    <t>Tool 1 — Financial technology checkup</t>
  </si>
  <si>
    <t>2. Tax Readiness</t>
  </si>
  <si>
    <t>Tool 2 — Tax readiness checklist</t>
  </si>
  <si>
    <t>3. KPI Dashboard</t>
  </si>
  <si>
    <t>Tool 3 — CEO dashboard</t>
  </si>
  <si>
    <t>4. Break-Even</t>
  </si>
  <si>
    <t>Tool 4 — Break-even &amp; margin calculator</t>
  </si>
  <si>
    <t>5. Projection</t>
  </si>
  <si>
    <t>Tool 5 — 12-month projection model</t>
  </si>
  <si>
    <t>6. CEO Monthly Review</t>
  </si>
  <si>
    <t>Tool 6 — The monthly rhythm</t>
  </si>
  <si>
    <t>A note on protection</t>
  </si>
  <si>
    <t>Each tab is protected so formulas can't be overwritten by accident — the yellow cells stay open for your numbers. No password: Review &gt; Unprotect Sheet removes it if you ever need to customize.</t>
  </si>
  <si>
    <t>Meet Green Peak Co.</t>
  </si>
  <si>
    <t>The fictional cannabis retailer whose numbers appear in every example in this toolkit.</t>
  </si>
  <si>
    <t>Who they are</t>
  </si>
  <si>
    <t>A licensed cannabis retailer with a small wholesale line. Revenue is growing and customers are loyal — but at today's volume, the month still ends at a small loss. The founder wants proof the model can carry what comes next.</t>
  </si>
  <si>
    <t>The decision on the table</t>
  </si>
  <si>
    <t>Can Green Peak afford another budtender at $4,000 a month, starting in July? Every tool in this workbook moves that question from a gut feeling to an evidence-based answer.</t>
  </si>
  <si>
    <t>Assumption</t>
  </si>
  <si>
    <t>Value</t>
  </si>
  <si>
    <t>Where you'll see it</t>
  </si>
  <si>
    <t>Average selling price</t>
  </si>
  <si>
    <t>$40.00</t>
  </si>
  <si>
    <t>Break-Even tab, deck examples</t>
  </si>
  <si>
    <t>Variable cost per unit</t>
  </si>
  <si>
    <t>$19.20 (48% of price)</t>
  </si>
  <si>
    <t>Break-Even and Projection tabs</t>
  </si>
  <si>
    <t>Contribution margin</t>
  </si>
  <si>
    <t>$20.80 per unit (52%)</t>
  </si>
  <si>
    <t>Break-Even tab</t>
  </si>
  <si>
    <t>Monthly operating (fixed) costs</t>
  </si>
  <si>
    <t>$28,000</t>
  </si>
  <si>
    <t>Break-Even, Projection, and Dashboard tabs</t>
  </si>
  <si>
    <t>Current monthly revenue</t>
  </si>
  <si>
    <t>$50,000 — about 1,250 units</t>
  </si>
  <si>
    <t>Dashboard and Projection tabs</t>
  </si>
  <si>
    <t>Break-even</t>
  </si>
  <si>
    <t>1,347 units ≈ $53,880 — above today's volume</t>
  </si>
  <si>
    <t>Cash in the bank</t>
  </si>
  <si>
    <t>$75,000</t>
  </si>
  <si>
    <t>Growth scenario</t>
  </si>
  <si>
    <t>Base — 5% per month (try Careful and Stretch too)</t>
  </si>
  <si>
    <t>Projection tab</t>
  </si>
  <si>
    <t>Tax set-aside</t>
  </si>
  <si>
    <t>25% of each month's profit — an illustrative planning rate; replace with your CPA-approved rate</t>
  </si>
  <si>
    <t>The new hire</t>
  </si>
  <si>
    <t>$4,000/month from July</t>
  </si>
  <si>
    <t>Projection tab — the budtender decision</t>
  </si>
  <si>
    <t>Green Peak sells about 1,250 units a month against a 1,347-unit break-even — that gap is the tension the whole session works through, and the projection shows how growth closes it in March. Follow their story, then replace their numbers with yours.</t>
  </si>
  <si>
    <t>Tool 1 — Financial Technology Checkup</t>
  </si>
  <si>
    <t>Do you have the right systems to produce financial information you can trust?</t>
  </si>
  <si>
    <t>Function</t>
  </si>
  <si>
    <t>Question to ask yourself</t>
  </si>
  <si>
    <t>Common tools</t>
  </si>
  <si>
    <t>What it must do for your books</t>
  </si>
  <si>
    <t>Your readiness (1–5)</t>
  </si>
  <si>
    <t>Your next step</t>
  </si>
  <si>
    <t>Accounting system</t>
  </si>
  <si>
    <t>Where does the official financial record live?</t>
  </si>
  <si>
    <t>QuickBooks Online, Xero, Wave, Zoho Books, Sage</t>
  </si>
  <si>
    <t>Organize the books, produce your P&amp;L and balance sheet, reconcile to the bank</t>
  </si>
  <si>
    <t>Point of sale / Sales</t>
  </si>
  <si>
    <t>Where do sales originate, and do they reach the books?</t>
  </si>
  <si>
    <t>Dutchie, Flowhub, Square, Shopify</t>
  </si>
  <si>
    <t>Capture every sale and feed clean sales summaries into accounting</t>
  </si>
  <si>
    <t>Payroll</t>
  </si>
  <si>
    <t>How are wages, taxes, and contractors handled?</t>
  </si>
  <si>
    <t>Gusto, ADP, Paychex</t>
  </si>
  <si>
    <t>Document wages, payroll taxes, and worker classification</t>
  </si>
  <si>
    <t>Bills &amp; payments</t>
  </si>
  <si>
    <t>How are vendors paid and documented?</t>
  </si>
  <si>
    <t>Bill.com, Melio, bank bill pay</t>
  </si>
  <si>
    <t>Record every vendor bill and payment with support</t>
  </si>
  <si>
    <t>Inventory</t>
  </si>
  <si>
    <t>How is product counted, valued, and costed?</t>
  </si>
  <si>
    <t>POS inventory, seed-to-sale system, inventory platform</t>
  </si>
  <si>
    <t>Support inventory value and product costs with real records</t>
  </si>
  <si>
    <t>Documents &amp; receipts</t>
  </si>
  <si>
    <t>Where do receipts, invoices, and contracts live?</t>
  </si>
  <si>
    <t>Google Drive, Dropbox, Dext, Hubdoc</t>
  </si>
  <si>
    <t>Keep the proof behind every number, findable in minutes</t>
  </si>
  <si>
    <t>Example — Green Peak Co.</t>
  </si>
  <si>
    <t>QuickBooks Online</t>
  </si>
  <si>
    <t>Books reconciled monthly; sales mapped from POS</t>
  </si>
  <si>
    <t>Confirm chart of accounts and bank feeds</t>
  </si>
  <si>
    <t>Scoring guide:  1 = doesn't exist yet  ·  2 = exists, but manual and full of gaps  ·  3 = works, but I don't fully trust the numbers  ·  4 = reliable, but not reviewed on a rhythm  ·  5 = reliable, integrated, and reviewed monthly</t>
  </si>
  <si>
    <t>YOU ARE THE CEO — If you needed last month's true product cost today, where would you look, and would two systems agree?</t>
  </si>
  <si>
    <t>Tool 2 — Tax Readiness Checklist</t>
  </si>
  <si>
    <t>Record area</t>
  </si>
  <si>
    <t>Status</t>
  </si>
  <si>
    <t>Who owns it</t>
  </si>
  <si>
    <t>Notes</t>
  </si>
  <si>
    <t>Bank statements</t>
  </si>
  <si>
    <t>Are all accounts collected and reconciled every month?</t>
  </si>
  <si>
    <t>Sales reports</t>
  </si>
  <si>
    <t>Are POS and payment reports saved monthly?</t>
  </si>
  <si>
    <t>Product cost support</t>
  </si>
  <si>
    <t>Can product costs be backed by invoices and inventory records?</t>
  </si>
  <si>
    <t>Operating expenses</t>
  </si>
  <si>
    <t>Does every expense have a receipt and a business purpose?</t>
  </si>
  <si>
    <t>Payroll &amp; contractors</t>
  </si>
  <si>
    <t>Are payments, forms, and classifications documented?</t>
  </si>
  <si>
    <t>Inventory records</t>
  </si>
  <si>
    <t>Are counts, adjustments, and waste supported in writing?</t>
  </si>
  <si>
    <t>Is tax money separated or planned before it is needed?</t>
  </si>
  <si>
    <t>CPA questions</t>
  </si>
  <si>
    <t>Are your open questions written down before year-end?</t>
  </si>
  <si>
    <t>Areas marked Ready:</t>
  </si>
  <si>
    <t>Why this matters:</t>
  </si>
  <si>
    <t>On April 28, 2026, a federal final rule created a new framework affecting FDA-approved marijuana products and marijuana associated with qualifying state medical-marijuana licenses; marijuana outside those categories remains in Schedule I under the rule. The rule may affect certain qualifying medical-marijuana businesses, but it does not establish the tax treatment of every cannabis company or every activity under a state license — the rule itself directs licensees to consult tax counsel. Do not change your tax treatment without written guidance from a cannabis-experienced CPA or tax attorney. What has not changed: documentation does not create a deduction — it supports the treatment you are entitled to claim. Profit is still not spendable cash.</t>
  </si>
  <si>
    <t>YOU ARE THE CEO — If taxes were due tomorrow, would you be organized or searching?</t>
  </si>
  <si>
    <t>Tool 3 — CEO KPI Dashboard</t>
  </si>
  <si>
    <t>Your dashboard should tell you where to focus this month. Example shows Green Peak Co.'s latest month; enter your numbers in the second table.</t>
  </si>
  <si>
    <t>EXAMPLE — Green Peak Co.</t>
  </si>
  <si>
    <t>Metric</t>
  </si>
  <si>
    <t>This month</t>
  </si>
  <si>
    <t>Last month</t>
  </si>
  <si>
    <t>Change</t>
  </si>
  <si>
    <t>Target</t>
  </si>
  <si>
    <t>Revenue</t>
  </si>
  <si>
    <t>Gross profit</t>
  </si>
  <si>
    <t>Gross margin %</t>
  </si>
  <si>
    <t>Operating costs</t>
  </si>
  <si>
    <t>Net income</t>
  </si>
  <si>
    <t>Cash balance</t>
  </si>
  <si>
    <t>Cash runway (months)</t>
  </si>
  <si>
    <t>Inventory turnover</t>
  </si>
  <si>
    <t>Labor % of revenue</t>
  </si>
  <si>
    <t>YOUR BUSINESS — enter your numbers below</t>
  </si>
  <si>
    <t>How to read it: don't just check the numbers — read the story. Green Peak's revenue is growing and losses are shrinking, but the month still ends slightly below zero — which is exactly why the break-even and projection tabs matter. Every 'Watch' should end in a decision, an owner, and a follow-up date.</t>
  </si>
  <si>
    <t>YOU ARE THE CEO — Which single metric above needs your attention this month, and what will you do about it by Friday?</t>
  </si>
  <si>
    <t>Tool 4 — Break-Even &amp; Margin Calculator</t>
  </si>
  <si>
    <t>How much do you need to sell before the business actually makes money?</t>
  </si>
  <si>
    <t>Enter your numbers</t>
  </si>
  <si>
    <t>Your business</t>
  </si>
  <si>
    <t>Average selling price per unit</t>
  </si>
  <si>
    <t>Variable cost per unit (product, packaging, fees)</t>
  </si>
  <si>
    <t>Monthly fixed costs (rent, salaries, software, insurance)</t>
  </si>
  <si>
    <t>Monthly profit goal</t>
  </si>
  <si>
    <t>What the math says</t>
  </si>
  <si>
    <t>Contribution margin per unit (price − variable cost)</t>
  </si>
  <si>
    <t>Contribution margin % of price</t>
  </si>
  <si>
    <t>Break-even units per month</t>
  </si>
  <si>
    <t>Break-even revenue per month</t>
  </si>
  <si>
    <t>Units needed to hit your profit goal</t>
  </si>
  <si>
    <t>Use this before you decide: a price change, a discount, a new hire, or new space all move these numbers. Green Peak sells about 1,250 units a month today against a 1,347-unit break-even — the month still ends at a small loss, and closing that gap is what the levers (price, cost, mix, fixed, volume) are for.</t>
  </si>
  <si>
    <t>YOU ARE THE CEO — Before your next discount, hire, or lease: what does it do to your break-even?</t>
  </si>
  <si>
    <t>Tool 5 — 12-Month Income &amp; Cash Projection</t>
  </si>
  <si>
    <t>A simple planning model that starts from today's reality. Change the yellow cells and watch the answers update.</t>
  </si>
  <si>
    <t>STEP 1 — Enter today's reality</t>
  </si>
  <si>
    <t>Growth scenario (1 = Careful, 2 = Base, 3 = Stretch)</t>
  </si>
  <si>
    <t>Careful: monthly growth</t>
  </si>
  <si>
    <t>Base: monthly growth</t>
  </si>
  <si>
    <t>Stretch: monthly growth</t>
  </si>
  <si>
    <t>Product costs as % of revenue</t>
  </si>
  <si>
    <t>Monthly operating costs (rent, payroll, software…)</t>
  </si>
  <si>
    <t>New expense you're considering (monthly amount)</t>
  </si>
  <si>
    <t>…starting in month # (1–12)</t>
  </si>
  <si>
    <t>Cash in the bank today</t>
  </si>
  <si>
    <t>Set aside for taxes: % of each month's profit (illustrative — use your CPA-approved rate)</t>
  </si>
  <si>
    <t>STEP 2 — The 12-month view (calculates automatically)</t>
  </si>
  <si>
    <t>Month #</t>
  </si>
  <si>
    <t>Jan</t>
  </si>
  <si>
    <t>Feb</t>
  </si>
  <si>
    <t>Mar</t>
  </si>
  <si>
    <t>Apr</t>
  </si>
  <si>
    <t>May</t>
  </si>
  <si>
    <t>Jun</t>
  </si>
  <si>
    <t>Jul</t>
  </si>
  <si>
    <t>Aug</t>
  </si>
  <si>
    <t>Sep</t>
  </si>
  <si>
    <t>Oct</t>
  </si>
  <si>
    <t>Nov</t>
  </si>
  <si>
    <t>Dec</t>
  </si>
  <si>
    <t>Full year</t>
  </si>
  <si>
    <t>Product costs</t>
  </si>
  <si>
    <t>Profit / (loss)</t>
  </si>
  <si>
    <t>Beginning cash</t>
  </si>
  <si>
    <t>Ending cash</t>
  </si>
  <si>
    <t>Profitable this month? (1 = yes)</t>
  </si>
  <si>
    <t>STEP 3 — What the model tells you</t>
  </si>
  <si>
    <t>When does the plan become profitable?</t>
  </si>
  <si>
    <t>Cash at the end of the year</t>
  </si>
  <si>
    <t>Lowest cash point during the year</t>
  </si>
  <si>
    <t>…which happens in</t>
  </si>
  <si>
    <t>Total profit for the 12 months</t>
  </si>
  <si>
    <t>Total set aside for taxes</t>
  </si>
  <si>
    <t>Can you afford the new expense?</t>
  </si>
  <si>
    <t>Try it: switch the scenario between 1, 2, and 3. Move the new expense earlier or later. Watch when the plan turns profitable and where cash gets tight. The projection doesn't predict the future — it shows the financial impact of your assumptions before you commit.</t>
  </si>
  <si>
    <t>YOU ARE THE CEO — Can you afford your next big expense? Change the yellow cells and let the model answer.</t>
  </si>
  <si>
    <t>Tool 6 — CEO Monthly Financial Review</t>
  </si>
  <si>
    <t>One hour a month. Review each area, answer the question, and leave with decisions. The business should not have to get loud before you listen.</t>
  </si>
  <si>
    <t>Review area</t>
  </si>
  <si>
    <t>What to look at</t>
  </si>
  <si>
    <t>Question to answer</t>
  </si>
  <si>
    <t>Owner</t>
  </si>
  <si>
    <t>Decision / action</t>
  </si>
  <si>
    <t>Cash</t>
  </si>
  <si>
    <t>Cash balance, runway, upcoming obligations</t>
  </si>
  <si>
    <t>Do we have enough cash for the next 30–90 days?</t>
  </si>
  <si>
    <t>Profit &amp; loss</t>
  </si>
  <si>
    <t>Revenue, gross margin, operating expenses, profit</t>
  </si>
  <si>
    <t>What changed this month, and why?</t>
  </si>
  <si>
    <t>Balance sheet</t>
  </si>
  <si>
    <t>Debt, payables, taxes owed, inventory</t>
  </si>
  <si>
    <t>Where is pressure building?</t>
  </si>
  <si>
    <t>KPI dashboard (Tab 3)</t>
  </si>
  <si>
    <t>Every metric marked 'Watch'</t>
  </si>
  <si>
    <t>Which metric needs action this month?</t>
  </si>
  <si>
    <t>Break-even (Tab 4)</t>
  </si>
  <si>
    <t>Units and revenue vs. break-even</t>
  </si>
  <si>
    <t>Are we above or below the line — and trending which way?</t>
  </si>
  <si>
    <t>Projection (Tab 5)</t>
  </si>
  <si>
    <t>Actual results vs. the plan</t>
  </si>
  <si>
    <t>Is the plan still realistic, or does it need updating?</t>
  </si>
  <si>
    <t>Tax readiness (Tab 2)</t>
  </si>
  <si>
    <t>Checklist status, tax set-aside</t>
  </si>
  <si>
    <t>Are we still organized, and is tax cash separated?</t>
  </si>
  <si>
    <t>Close every review with three decisions:</t>
  </si>
  <si>
    <t>One thing we will START or invest in:</t>
  </si>
  <si>
    <t>One thing we will STOP, cut, or delay:</t>
  </si>
  <si>
    <t>One thing we will WATCH closely next month:</t>
  </si>
  <si>
    <t>Plain-Language Definitions</t>
  </si>
  <si>
    <t>Term</t>
  </si>
  <si>
    <t>Plain meaning</t>
  </si>
  <si>
    <t>Why a CEO cares</t>
  </si>
  <si>
    <t>Money earned from sales or services</t>
  </si>
  <si>
    <t>Shows demand — not profit</t>
  </si>
  <si>
    <t>Product costs (COGS)</t>
  </si>
  <si>
    <t>The direct cost to produce or buy what you sold</t>
  </si>
  <si>
    <t>The starting point of margin</t>
  </si>
  <si>
    <t>Revenue minus product costs</t>
  </si>
  <si>
    <t>Shows whether the product economics work</t>
  </si>
  <si>
    <t>Gross profit divided by revenue</t>
  </si>
  <si>
    <t>How much of each dollar you keep after direct costs</t>
  </si>
  <si>
    <t>The costs of running the business (rent, payroll, software)</t>
  </si>
  <si>
    <t>The machine you must cover every month</t>
  </si>
  <si>
    <t>Profit (net income)</t>
  </si>
  <si>
    <t>What's left after all costs</t>
  </si>
  <si>
    <t>Profitability on paper — not the same as cash</t>
  </si>
  <si>
    <t>Fixed costs</t>
  </si>
  <si>
    <t>Costs that continue whether sales are high or low</t>
  </si>
  <si>
    <t>Sets your break-even bar</t>
  </si>
  <si>
    <t>Variable costs</t>
  </si>
  <si>
    <t>Costs that move with each sale</t>
  </si>
  <si>
    <t>Shapes your margin on every unit</t>
  </si>
  <si>
    <t>Selling price minus variable cost per unit</t>
  </si>
  <si>
    <t>What each sale contributes toward fixed costs</t>
  </si>
  <si>
    <t>The sales level where you cover all costs</t>
  </si>
  <si>
    <t>Your minimum performance target</t>
  </si>
  <si>
    <t>Cash runway</t>
  </si>
  <si>
    <t>Cash divided by monthly costs</t>
  </si>
  <si>
    <t>How many months you can operate</t>
  </si>
  <si>
    <t>How many times inventory sells through in a period</t>
  </si>
  <si>
    <t>Slow turns mean cash sitting on shelves</t>
  </si>
  <si>
    <t>Cash separated for taxes before it feels spendable</t>
  </si>
  <si>
    <t>Profit ≠ spendable cash; use your CPA-approved rate</t>
  </si>
  <si>
    <t>280E</t>
  </si>
  <si>
    <t>A federal tax rule that blocks most deductions for businesses trafficking in Schedule I or II substances</t>
  </si>
  <si>
    <t>The April 28, 2026 rule may affect certain qualifying medical-marijuana businesses, but it does not establish the tax treatment of every cannabis company or activity — confirm your treatment with cannabis tax counsel before changing anything</t>
  </si>
  <si>
    <t>Schedule III (2026 change)</t>
  </si>
  <si>
    <t>The April 28, 2026 federal rule created a new framework affecting FDA-approved marijuana products and marijuana associated with qualifying state medical licenses; marijuana outside those categories remains in Schedule I under the rule</t>
  </si>
  <si>
    <t>License, activities, and circumstances decide any impact — a question for tax counsel, not an assumption</t>
  </si>
  <si>
    <t>Projection</t>
  </si>
  <si>
    <t>A forecast built from assumptions</t>
  </si>
  <si>
    <t>Tests whether a plan is realistic before you commit</t>
  </si>
  <si>
    <t xml:space="preserve">Tax readiness is a year-round habit, not a year-end scramble. Organization tool only — not tax advice. </t>
  </si>
  <si>
    <t>The financial words in this toolkit, in founder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</si>
</sst>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5" formatCode="0.0%"/>
    <numFmt numFmtId="166" formatCode="\$#,##0;&quot;($&quot;#,##0\)"/>
    <numFmt numFmtId="167" formatCode="0.0"/>
    <numFmt numFmtId="168" formatCode="\$#,##0.00"/>
  </numFmts>
  <fonts count="20" x14ac:knownFonts="1">
    <font>
      <sz val="11"/>
      <color theme="1"/>
      <name val="Calibri"/>
      <family val="2"/>
      <charset val="1"/>
    </font>
    <font>
      <b/>
      <sz val="14"/>
      <color rgb="FF1E5631"/>
      <name val="Arial"/>
      <charset val="1"/>
    </font>
    <font>
      <i/>
      <sz val="10"/>
      <color rgb="FF6B6B6B"/>
      <name val="Arial"/>
      <charset val="1"/>
    </font>
    <font>
      <b/>
      <sz val="10"/>
      <color rgb="FF1E5631"/>
      <name val="Arial"/>
      <charset val="1"/>
    </font>
    <font>
      <sz val="10"/>
      <color rgb="FF2E2E2E"/>
      <name val="Arial"/>
      <charset val="1"/>
    </font>
    <font>
      <b/>
      <sz val="11"/>
      <color rgb="FF1E5631"/>
      <name val="Arial"/>
      <charset val="1"/>
    </font>
    <font>
      <b/>
      <u/>
      <sz val="10"/>
      <color rgb="FF1E5631"/>
      <name val="Arial"/>
      <charset val="1"/>
    </font>
    <font>
      <sz val="10"/>
      <color rgb="FF6B6B6B"/>
      <name val="Arial"/>
      <charset val="1"/>
    </font>
    <font>
      <b/>
      <sz val="10"/>
      <color rgb="FFFFFFFF"/>
      <name val="Arial"/>
      <charset val="1"/>
    </font>
    <font>
      <b/>
      <sz val="10"/>
      <color rgb="FF2E2E2E"/>
      <name val="Arial"/>
      <charset val="1"/>
    </font>
    <font>
      <sz val="10"/>
      <color rgb="FF0000FF"/>
      <name val="Arial"/>
      <charset val="1"/>
    </font>
    <font>
      <i/>
      <sz val="10"/>
      <color rgb="FFC9A227"/>
      <name val="Arial"/>
      <charset val="1"/>
    </font>
    <font>
      <b/>
      <i/>
      <sz val="10"/>
      <color rgb="FFA2711A"/>
      <name val="Arial"/>
      <charset val="1"/>
    </font>
    <font>
      <b/>
      <sz val="10"/>
      <color rgb="FFC9A227"/>
      <name val="Arial"/>
      <charset val="1"/>
    </font>
    <font>
      <b/>
      <sz val="9.5"/>
      <color rgb="FFB3541E"/>
      <name val="Arial"/>
      <charset val="1"/>
    </font>
    <font>
      <sz val="8"/>
      <color rgb="FF9B9B9B"/>
      <name val="Arial"/>
      <charset val="1"/>
    </font>
    <font>
      <sz val="9"/>
      <color rgb="FF2E2E2E"/>
      <name val="Arial"/>
      <charset val="1"/>
    </font>
    <font>
      <b/>
      <i/>
      <sz val="10"/>
      <color rgb="FF6B6B6B"/>
      <name val="Arial"/>
      <family val="2"/>
    </font>
    <font>
      <b/>
      <sz val="11"/>
      <color theme="1"/>
      <name val="Calibri"/>
      <family val="2"/>
      <charset val="1"/>
    </font>
    <font>
      <b/>
      <sz val="10"/>
      <color rgb="FF6B6B6B"/>
      <name val="Arial"/>
      <family val="2"/>
    </font>
  </fonts>
  <fills count="7">
    <fill>
      <patternFill patternType="none"/>
    </fill>
    <fill>
      <patternFill patternType="gray125"/>
    </fill>
    <fill>
      <patternFill patternType="solid">
        <fgColor rgb="FF1E5631"/>
        <bgColor rgb="FF2E2E2E"/>
      </patternFill>
    </fill>
    <fill>
      <patternFill patternType="solid">
        <fgColor rgb="FFE8F1EA"/>
        <bgColor rgb="FFDCEBDF"/>
      </patternFill>
    </fill>
    <fill>
      <patternFill patternType="solid">
        <fgColor rgb="FFFFF2CC"/>
        <bgColor rgb="FFF7F0DE"/>
      </patternFill>
    </fill>
    <fill>
      <patternFill patternType="solid">
        <fgColor rgb="FFF7F0DE"/>
        <bgColor rgb="FFFFF2CC"/>
      </patternFill>
    </fill>
    <fill>
      <patternFill patternType="solid">
        <fgColor rgb="FFFFFF00"/>
        <bgColor indexed="64"/>
      </patternFill>
    </fill>
  </fills>
  <borders count="2">
    <border>
      <left/>
      <right/>
      <top/>
      <bottom/>
      <diagonal/>
    </border>
    <border>
      <left style="thin">
        <color rgb="FFC9C9C9"/>
      </left>
      <right style="thin">
        <color rgb="FFC9C9C9"/>
      </right>
      <top style="thin">
        <color rgb="FFC9C9C9"/>
      </top>
      <bottom style="thin">
        <color rgb="FFC9C9C9"/>
      </bottom>
      <diagonal/>
    </border>
  </borders>
  <cellStyleXfs count="1">
    <xf numFmtId="0" fontId="0" fillId="0" borderId="0"/>
  </cellStyleXfs>
  <cellXfs count="55">
    <xf numFmtId="0" fontId="0" fillId="0" borderId="0" xfId="0"/>
    <xf numFmtId="0" fontId="10" fillId="4" borderId="1" xfId="0" applyFont="1" applyFill="1" applyBorder="1" applyProtection="1">
      <protection locked="0"/>
    </xf>
    <xf numFmtId="0" fontId="4" fillId="0" borderId="0" xfId="0" applyFont="1" applyAlignment="1">
      <alignment vertical="top" wrapText="1"/>
    </xf>
    <xf numFmtId="0" fontId="12" fillId="0" borderId="0" xfId="0" applyFont="1" applyAlignment="1">
      <alignment vertical="top" wrapText="1"/>
    </xf>
    <xf numFmtId="0" fontId="1" fillId="0" borderId="0" xfId="0" applyFont="1"/>
    <xf numFmtId="0" fontId="2" fillId="0" borderId="0" xfId="0" applyFont="1"/>
    <xf numFmtId="0" fontId="3" fillId="0" borderId="0" xfId="0" applyFont="1"/>
    <xf numFmtId="0" fontId="4" fillId="0" borderId="0" xfId="0" applyFont="1" applyAlignment="1">
      <alignment vertical="top" wrapText="1"/>
    </xf>
    <xf numFmtId="0" fontId="5" fillId="0" borderId="0" xfId="0" applyFont="1"/>
    <xf numFmtId="0" fontId="6" fillId="0" borderId="0" xfId="0" applyFont="1"/>
    <xf numFmtId="0" fontId="7" fillId="0" borderId="0" xfId="0" applyFont="1"/>
    <xf numFmtId="0" fontId="8" fillId="2" borderId="1" xfId="0" applyFont="1" applyFill="1" applyBorder="1" applyAlignment="1">
      <alignment vertical="center" wrapText="1"/>
    </xf>
    <xf numFmtId="0" fontId="9" fillId="3" borderId="1" xfId="0" applyFont="1" applyFill="1" applyBorder="1" applyAlignment="1">
      <alignment vertical="top" wrapText="1"/>
    </xf>
    <xf numFmtId="0" fontId="4" fillId="3" borderId="1" xfId="0" applyFont="1" applyFill="1" applyBorder="1" applyAlignment="1">
      <alignment vertical="top" wrapText="1"/>
    </xf>
    <xf numFmtId="0" fontId="9" fillId="0" borderId="1" xfId="0" applyFont="1" applyBorder="1" applyAlignment="1">
      <alignment vertical="top" wrapText="1"/>
    </xf>
    <xf numFmtId="0" fontId="4" fillId="0" borderId="1" xfId="0" applyFont="1" applyBorder="1" applyAlignment="1">
      <alignment vertical="top" wrapText="1"/>
    </xf>
    <xf numFmtId="0" fontId="10" fillId="4" borderId="1" xfId="0" applyFont="1" applyFill="1" applyBorder="1" applyProtection="1">
      <protection locked="0"/>
    </xf>
    <xf numFmtId="0" fontId="11" fillId="0" borderId="0" xfId="0" applyFont="1"/>
    <xf numFmtId="0" fontId="2" fillId="0" borderId="1" xfId="0" applyFont="1" applyBorder="1" applyAlignment="1">
      <alignment vertical="top" wrapText="1"/>
    </xf>
    <xf numFmtId="0" fontId="9" fillId="0" borderId="0" xfId="0" applyFont="1"/>
    <xf numFmtId="0" fontId="13" fillId="0" borderId="0" xfId="0" applyFont="1"/>
    <xf numFmtId="0" fontId="9" fillId="0" borderId="1" xfId="0" applyFont="1" applyBorder="1"/>
    <xf numFmtId="164" fontId="10" fillId="4" borderId="1" xfId="0" applyNumberFormat="1" applyFont="1" applyFill="1" applyBorder="1" applyProtection="1">
      <protection locked="0"/>
    </xf>
    <xf numFmtId="164" fontId="0" fillId="0" borderId="1" xfId="0" applyNumberFormat="1" applyBorder="1"/>
    <xf numFmtId="165" fontId="0" fillId="0" borderId="1" xfId="0" applyNumberFormat="1" applyBorder="1"/>
    <xf numFmtId="165" fontId="10" fillId="4" borderId="1" xfId="0" applyNumberFormat="1" applyFont="1" applyFill="1" applyBorder="1" applyProtection="1">
      <protection locked="0"/>
    </xf>
    <xf numFmtId="166" fontId="10" fillId="4" borderId="1" xfId="0" applyNumberFormat="1" applyFont="1" applyFill="1" applyBorder="1" applyProtection="1">
      <protection locked="0"/>
    </xf>
    <xf numFmtId="166" fontId="0" fillId="0" borderId="1" xfId="0" applyNumberFormat="1" applyBorder="1"/>
    <xf numFmtId="167" fontId="0" fillId="0" borderId="1" xfId="0" applyNumberFormat="1" applyBorder="1"/>
    <xf numFmtId="167" fontId="10" fillId="4" borderId="1" xfId="0" applyNumberFormat="1" applyFont="1" applyFill="1" applyBorder="1" applyProtection="1">
      <protection locked="0"/>
    </xf>
    <xf numFmtId="168" fontId="10" fillId="4" borderId="1" xfId="0" applyNumberFormat="1" applyFont="1" applyFill="1" applyBorder="1" applyProtection="1">
      <protection locked="0"/>
    </xf>
    <xf numFmtId="0" fontId="14" fillId="0" borderId="0" xfId="0" applyFont="1" applyAlignment="1">
      <alignment vertical="top" wrapText="1"/>
    </xf>
    <xf numFmtId="168" fontId="4" fillId="0" borderId="1" xfId="0" applyNumberFormat="1" applyFont="1" applyBorder="1"/>
    <xf numFmtId="165" fontId="4" fillId="0" borderId="1" xfId="0" applyNumberFormat="1" applyFont="1" applyBorder="1"/>
    <xf numFmtId="3" fontId="4" fillId="0" borderId="1" xfId="0" applyNumberFormat="1" applyFont="1" applyBorder="1"/>
    <xf numFmtId="164" fontId="4" fillId="0" borderId="1" xfId="0" applyNumberFormat="1" applyFont="1" applyBorder="1"/>
    <xf numFmtId="0" fontId="4" fillId="0" borderId="0" xfId="0" applyFont="1" applyAlignment="1">
      <alignment vertical="center" wrapText="1"/>
    </xf>
    <xf numFmtId="1" fontId="10" fillId="4" borderId="1" xfId="0" applyNumberFormat="1" applyFont="1" applyFill="1" applyBorder="1" applyProtection="1">
      <protection locked="0"/>
    </xf>
    <xf numFmtId="0" fontId="15" fillId="0" borderId="0" xfId="0" applyFont="1"/>
    <xf numFmtId="164" fontId="16" fillId="0" borderId="1" xfId="0" applyNumberFormat="1" applyFont="1" applyBorder="1"/>
    <xf numFmtId="0" fontId="9" fillId="3" borderId="1" xfId="0" applyFont="1" applyFill="1" applyBorder="1"/>
    <xf numFmtId="164" fontId="16" fillId="3" borderId="1" xfId="0" applyNumberFormat="1" applyFont="1" applyFill="1" applyBorder="1"/>
    <xf numFmtId="166" fontId="16" fillId="3" borderId="1" xfId="0" applyNumberFormat="1" applyFont="1" applyFill="1" applyBorder="1"/>
    <xf numFmtId="166" fontId="16" fillId="0" borderId="1" xfId="0" applyNumberFormat="1" applyFont="1" applyBorder="1"/>
    <xf numFmtId="1" fontId="16" fillId="0" borderId="1" xfId="0" applyNumberFormat="1" applyFont="1" applyBorder="1"/>
    <xf numFmtId="0" fontId="9" fillId="5" borderId="1" xfId="0" applyFont="1" applyFill="1" applyBorder="1"/>
    <xf numFmtId="0" fontId="17" fillId="6" borderId="0" xfId="0" applyFont="1" applyFill="1"/>
    <xf numFmtId="0" fontId="18" fillId="6" borderId="0" xfId="0" applyFont="1" applyFill="1"/>
    <xf numFmtId="0" fontId="0" fillId="6" borderId="0" xfId="0" applyFill="1"/>
    <xf numFmtId="0" fontId="17" fillId="6" borderId="0" xfId="0" applyFont="1" applyFill="1" applyAlignment="1">
      <alignment vertical="top" wrapText="1"/>
    </xf>
    <xf numFmtId="0" fontId="17" fillId="6" borderId="0" xfId="0" applyFont="1" applyFill="1"/>
    <xf numFmtId="0" fontId="3" fillId="5" borderId="1" xfId="0" applyFont="1" applyFill="1" applyBorder="1" applyAlignment="1">
      <alignment horizontal="left"/>
    </xf>
    <xf numFmtId="166" fontId="3" fillId="5" borderId="1" xfId="0" applyNumberFormat="1" applyFont="1" applyFill="1" applyBorder="1" applyAlignment="1">
      <alignment horizontal="left"/>
    </xf>
    <xf numFmtId="164" fontId="3" fillId="5" borderId="1" xfId="0" applyNumberFormat="1" applyFont="1" applyFill="1" applyBorder="1" applyAlignment="1">
      <alignment horizontal="left"/>
    </xf>
    <xf numFmtId="0" fontId="19" fillId="6" borderId="0" xfId="0" applyFont="1" applyFill="1" applyAlignment="1">
      <alignment vertical="top" wrapText="1"/>
    </xf>
  </cellXfs>
  <cellStyles count="1">
    <cellStyle name="Normal" xfId="0" builtinId="0"/>
  </cellStyles>
  <dxfs count="6">
    <dxf>
      <font>
        <sz val="10"/>
        <color rgb="FFB3541E"/>
        <name val="Arial"/>
        <charset val="1"/>
      </font>
    </dxf>
    <dxf>
      <font>
        <sz val="10"/>
        <color rgb="FFB3541E"/>
        <name val="Arial"/>
        <charset val="1"/>
      </font>
    </dxf>
    <dxf>
      <fill>
        <patternFill>
          <bgColor rgb="FFDCEBDF"/>
        </patternFill>
      </fill>
    </dxf>
    <dxf>
      <fill>
        <patternFill>
          <bgColor rgb="FFF6E8CE"/>
        </patternFill>
      </fill>
    </dxf>
    <dxf>
      <fill>
        <patternFill>
          <bgColor rgb="FFDCEBDF"/>
        </patternFill>
      </fill>
    </dxf>
    <dxf>
      <fill>
        <patternFill>
          <bgColor rgb="FFF6E8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A2711A"/>
      <rgbColor rgb="FF800080"/>
      <rgbColor rgb="FF008080"/>
      <rgbColor rgb="FFC9C9C9"/>
      <rgbColor rgb="FF808080"/>
      <rgbColor rgb="FF9999FF"/>
      <rgbColor rgb="FF993366"/>
      <rgbColor rgb="FFFFF2CC"/>
      <rgbColor rgb="FFE8F1EA"/>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7F0DE"/>
      <rgbColor rgb="FFDCEBDF"/>
      <rgbColor rgb="FFF6E8CE"/>
      <rgbColor rgb="FF99CCFF"/>
      <rgbColor rgb="FFFF99CC"/>
      <rgbColor rgb="FFCC99FF"/>
      <rgbColor rgb="FFFFCC99"/>
      <rgbColor rgb="FF3366FF"/>
      <rgbColor rgb="FF33CCCC"/>
      <rgbColor rgb="FF99CC00"/>
      <rgbColor rgb="FFFFCC00"/>
      <rgbColor rgb="FFC9A227"/>
      <rgbColor rgb="FFFF6600"/>
      <rgbColor rgb="FF6B6B6B"/>
      <rgbColor rgb="FF9B9B9B"/>
      <rgbColor rgb="FF003366"/>
      <rgbColor rgb="FF339966"/>
      <rgbColor rgb="FF003300"/>
      <rgbColor rgb="FF1E5631"/>
      <rgbColor rgb="FFB3541E"/>
      <rgbColor rgb="FF993366"/>
      <rgbColor rgb="FF333399"/>
      <rgbColor rgb="FF2E2E2E"/>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9"/>
  <sheetViews>
    <sheetView tabSelected="1" zoomScaleNormal="100" workbookViewId="0">
      <selection activeCell="A13" sqref="A13"/>
    </sheetView>
  </sheetViews>
  <sheetFormatPr defaultColWidth="8.7109375" defaultRowHeight="15" x14ac:dyDescent="0.25"/>
  <cols>
    <col min="1" max="1" width="26" customWidth="1"/>
    <col min="2" max="2" width="100" customWidth="1"/>
  </cols>
  <sheetData>
    <row r="1" spans="1:2" ht="18" x14ac:dyDescent="0.25">
      <c r="A1" s="4" t="s">
        <v>0</v>
      </c>
    </row>
    <row r="2" spans="1:2" x14ac:dyDescent="0.25">
      <c r="A2" s="50" t="s">
        <v>1</v>
      </c>
      <c r="B2" s="50"/>
    </row>
    <row r="3" spans="1:2" ht="30" customHeight="1" x14ac:dyDescent="0.25">
      <c r="A3" s="6" t="s">
        <v>2</v>
      </c>
      <c r="B3" s="7" t="s">
        <v>3</v>
      </c>
    </row>
    <row r="4" spans="1:2" ht="52.5" customHeight="1" x14ac:dyDescent="0.25">
      <c r="A4" s="6" t="s">
        <v>4</v>
      </c>
      <c r="B4" s="7" t="s">
        <v>5</v>
      </c>
    </row>
    <row r="5" spans="1:2" ht="27.75" customHeight="1" x14ac:dyDescent="0.25">
      <c r="A5" s="6" t="s">
        <v>6</v>
      </c>
      <c r="B5" s="7" t="s">
        <v>7</v>
      </c>
    </row>
    <row r="6" spans="1:2" ht="39.75" customHeight="1" x14ac:dyDescent="0.25">
      <c r="A6" s="6" t="s">
        <v>8</v>
      </c>
      <c r="B6" s="7" t="s">
        <v>9</v>
      </c>
    </row>
    <row r="7" spans="1:2" ht="42" customHeight="1" x14ac:dyDescent="0.25">
      <c r="A7" s="6" t="s">
        <v>10</v>
      </c>
      <c r="B7" s="7" t="s">
        <v>11</v>
      </c>
    </row>
    <row r="8" spans="1:2" ht="27.75" customHeight="1" x14ac:dyDescent="0.25">
      <c r="A8" s="6" t="s">
        <v>12</v>
      </c>
      <c r="B8" s="7" t="s">
        <v>13</v>
      </c>
    </row>
    <row r="10" spans="1:2" x14ac:dyDescent="0.25">
      <c r="A10" s="8" t="s">
        <v>14</v>
      </c>
    </row>
    <row r="11" spans="1:2" x14ac:dyDescent="0.25">
      <c r="A11" s="9" t="s">
        <v>15</v>
      </c>
      <c r="B11" s="10" t="s">
        <v>16</v>
      </c>
    </row>
    <row r="12" spans="1:2" x14ac:dyDescent="0.25">
      <c r="A12" s="9" t="s">
        <v>17</v>
      </c>
      <c r="B12" s="10" t="s">
        <v>18</v>
      </c>
    </row>
    <row r="13" spans="1:2" x14ac:dyDescent="0.25">
      <c r="A13" s="9" t="s">
        <v>19</v>
      </c>
      <c r="B13" s="10" t="s">
        <v>20</v>
      </c>
    </row>
    <row r="14" spans="1:2" x14ac:dyDescent="0.25">
      <c r="A14" s="9" t="s">
        <v>21</v>
      </c>
      <c r="B14" s="10" t="s">
        <v>22</v>
      </c>
    </row>
    <row r="15" spans="1:2" x14ac:dyDescent="0.25">
      <c r="A15" s="9" t="s">
        <v>23</v>
      </c>
      <c r="B15" s="10" t="s">
        <v>24</v>
      </c>
    </row>
    <row r="16" spans="1:2" x14ac:dyDescent="0.25">
      <c r="A16" s="9" t="s">
        <v>25</v>
      </c>
      <c r="B16" s="10" t="s">
        <v>26</v>
      </c>
    </row>
    <row r="17" spans="1:2" x14ac:dyDescent="0.25">
      <c r="A17" s="9" t="s">
        <v>27</v>
      </c>
      <c r="B17" s="10" t="s">
        <v>28</v>
      </c>
    </row>
    <row r="19" spans="1:2" ht="30" customHeight="1" x14ac:dyDescent="0.25">
      <c r="A19" s="6" t="s">
        <v>29</v>
      </c>
      <c r="B19" s="54" t="s">
        <v>30</v>
      </c>
    </row>
  </sheetData>
  <sheetProtection sheet="1" formatColumns="0" formatRows="0"/>
  <mergeCells count="1">
    <mergeCell ref="A2:B2"/>
  </mergeCells>
  <hyperlinks>
    <hyperlink ref="A11" location="'Meet Green Peak'!A1" xr:uid="{00000000-0004-0000-0000-000000000000}"/>
    <hyperlink ref="A12" location="'1. Tech Stack'!A1" xr:uid="{00000000-0004-0000-0000-000001000000}"/>
    <hyperlink ref="A13" location="'2. Tax Readiness'!A1" xr:uid="{00000000-0004-0000-0000-000002000000}"/>
    <hyperlink ref="A14" location="'3. KPI Dashboard'!A1" xr:uid="{00000000-0004-0000-0000-000003000000}"/>
    <hyperlink ref="A15" location="'4. Break-Even'!A1" xr:uid="{00000000-0004-0000-0000-000004000000}"/>
    <hyperlink ref="A16" location="'5. Projection'!A1" xr:uid="{00000000-0004-0000-0000-000005000000}"/>
    <hyperlink ref="A17" location="'6. CEO Monthly Review'!A1" xr:uid="{00000000-0004-0000-0000-000006000000}"/>
  </hyperlinks>
  <pageMargins left="0.75" right="0.75" top="1" bottom="1" header="0.511811023622047" footer="0.511811023622047"/>
  <pageSetup fitToHeight="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9"/>
  <sheetViews>
    <sheetView zoomScaleNormal="100" workbookViewId="0">
      <selection activeCell="I22" sqref="I22"/>
    </sheetView>
  </sheetViews>
  <sheetFormatPr defaultColWidth="8.7109375" defaultRowHeight="15" x14ac:dyDescent="0.25"/>
  <cols>
    <col min="1" max="1" width="30" customWidth="1"/>
    <col min="2" max="2" width="40" customWidth="1"/>
    <col min="3" max="3" width="42" customWidth="1"/>
  </cols>
  <sheetData>
    <row r="1" spans="1:3" ht="18" x14ac:dyDescent="0.25">
      <c r="A1" s="4" t="s">
        <v>31</v>
      </c>
    </row>
    <row r="2" spans="1:3" x14ac:dyDescent="0.25">
      <c r="A2" s="46" t="s">
        <v>32</v>
      </c>
      <c r="B2" s="47"/>
      <c r="C2" s="48"/>
    </row>
    <row r="4" spans="1:3" ht="42" customHeight="1" x14ac:dyDescent="0.25">
      <c r="A4" s="6" t="s">
        <v>33</v>
      </c>
      <c r="B4" s="2" t="s">
        <v>34</v>
      </c>
      <c r="C4" s="2"/>
    </row>
    <row r="5" spans="1:3" ht="29.25" customHeight="1" x14ac:dyDescent="0.25">
      <c r="A5" s="6" t="s">
        <v>35</v>
      </c>
      <c r="B5" s="2" t="s">
        <v>36</v>
      </c>
      <c r="C5" s="2"/>
    </row>
    <row r="7" spans="1:3" x14ac:dyDescent="0.25">
      <c r="A7" s="11" t="s">
        <v>37</v>
      </c>
      <c r="B7" s="11" t="s">
        <v>38</v>
      </c>
      <c r="C7" s="11" t="s">
        <v>39</v>
      </c>
    </row>
    <row r="8" spans="1:3" x14ac:dyDescent="0.25">
      <c r="A8" s="12" t="s">
        <v>40</v>
      </c>
      <c r="B8" s="13" t="s">
        <v>41</v>
      </c>
      <c r="C8" s="13" t="s">
        <v>42</v>
      </c>
    </row>
    <row r="9" spans="1:3" x14ac:dyDescent="0.25">
      <c r="A9" s="14" t="s">
        <v>43</v>
      </c>
      <c r="B9" s="15" t="s">
        <v>44</v>
      </c>
      <c r="C9" s="15" t="s">
        <v>45</v>
      </c>
    </row>
    <row r="10" spans="1:3" x14ac:dyDescent="0.25">
      <c r="A10" s="12" t="s">
        <v>46</v>
      </c>
      <c r="B10" s="13" t="s">
        <v>47</v>
      </c>
      <c r="C10" s="13" t="s">
        <v>48</v>
      </c>
    </row>
    <row r="11" spans="1:3" x14ac:dyDescent="0.25">
      <c r="A11" s="14" t="s">
        <v>49</v>
      </c>
      <c r="B11" s="15" t="s">
        <v>50</v>
      </c>
      <c r="C11" s="15" t="s">
        <v>51</v>
      </c>
    </row>
    <row r="12" spans="1:3" x14ac:dyDescent="0.25">
      <c r="A12" s="12" t="s">
        <v>52</v>
      </c>
      <c r="B12" s="13" t="s">
        <v>53</v>
      </c>
      <c r="C12" s="13" t="s">
        <v>54</v>
      </c>
    </row>
    <row r="13" spans="1:3" ht="25.5" x14ac:dyDescent="0.25">
      <c r="A13" s="14" t="s">
        <v>55</v>
      </c>
      <c r="B13" s="15" t="s">
        <v>56</v>
      </c>
      <c r="C13" s="15" t="s">
        <v>48</v>
      </c>
    </row>
    <row r="14" spans="1:3" x14ac:dyDescent="0.25">
      <c r="A14" s="12" t="s">
        <v>57</v>
      </c>
      <c r="B14" s="13" t="s">
        <v>58</v>
      </c>
      <c r="C14" s="13" t="s">
        <v>54</v>
      </c>
    </row>
    <row r="15" spans="1:3" ht="25.5" x14ac:dyDescent="0.25">
      <c r="A15" s="14" t="s">
        <v>59</v>
      </c>
      <c r="B15" s="15" t="s">
        <v>60</v>
      </c>
      <c r="C15" s="15" t="s">
        <v>61</v>
      </c>
    </row>
    <row r="16" spans="1:3" ht="38.25" x14ac:dyDescent="0.25">
      <c r="A16" s="12" t="s">
        <v>62</v>
      </c>
      <c r="B16" s="13" t="s">
        <v>63</v>
      </c>
      <c r="C16" s="13" t="s">
        <v>61</v>
      </c>
    </row>
    <row r="17" spans="1:3" x14ac:dyDescent="0.25">
      <c r="A17" s="14" t="s">
        <v>64</v>
      </c>
      <c r="B17" s="15" t="s">
        <v>65</v>
      </c>
      <c r="C17" s="15" t="s">
        <v>66</v>
      </c>
    </row>
    <row r="19" spans="1:3" ht="42" customHeight="1" x14ac:dyDescent="0.25">
      <c r="A19" s="49" t="s">
        <v>67</v>
      </c>
      <c r="B19" s="49"/>
      <c r="C19" s="49"/>
    </row>
  </sheetData>
  <sheetProtection sheet="1" formatColumns="0" formatRows="0"/>
  <mergeCells count="3">
    <mergeCell ref="A19:C19"/>
    <mergeCell ref="B4:C4"/>
    <mergeCell ref="B5:C5"/>
  </mergeCells>
  <pageMargins left="0.75" right="0.75" top="1" bottom="1" header="0.511811023622047" footer="0.511811023622047"/>
  <pageSetup fitToHeight="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5"/>
  <sheetViews>
    <sheetView zoomScaleNormal="100" workbookViewId="0">
      <pane ySplit="4" topLeftCell="A5" activePane="bottomLeft" state="frozen"/>
      <selection pane="bottomLeft" activeCell="B17" sqref="B17"/>
    </sheetView>
  </sheetViews>
  <sheetFormatPr defaultColWidth="8.7109375" defaultRowHeight="15" x14ac:dyDescent="0.25"/>
  <cols>
    <col min="1" max="1" width="25.42578125" customWidth="1"/>
    <col min="2" max="2" width="38" customWidth="1"/>
    <col min="3" max="3" width="34" customWidth="1"/>
    <col min="4" max="4" width="42" customWidth="1"/>
    <col min="5" max="5" width="14" customWidth="1"/>
    <col min="6" max="6" width="34" customWidth="1"/>
  </cols>
  <sheetData>
    <row r="1" spans="1:6" ht="18" x14ac:dyDescent="0.25">
      <c r="A1" s="4" t="s">
        <v>68</v>
      </c>
    </row>
    <row r="2" spans="1:6" x14ac:dyDescent="0.25">
      <c r="A2" s="46" t="s">
        <v>69</v>
      </c>
      <c r="B2" s="47"/>
      <c r="C2" s="47"/>
    </row>
    <row r="4" spans="1:6" ht="38.25" x14ac:dyDescent="0.25">
      <c r="A4" s="11" t="s">
        <v>70</v>
      </c>
      <c r="B4" s="11" t="s">
        <v>71</v>
      </c>
      <c r="C4" s="11" t="s">
        <v>72</v>
      </c>
      <c r="D4" s="11" t="s">
        <v>73</v>
      </c>
      <c r="E4" s="11" t="s">
        <v>74</v>
      </c>
      <c r="F4" s="11" t="s">
        <v>75</v>
      </c>
    </row>
    <row r="5" spans="1:6" ht="39.75" customHeight="1" x14ac:dyDescent="0.25">
      <c r="A5" s="15" t="s">
        <v>76</v>
      </c>
      <c r="B5" s="15" t="s">
        <v>77</v>
      </c>
      <c r="C5" s="15" t="s">
        <v>78</v>
      </c>
      <c r="D5" s="15" t="s">
        <v>79</v>
      </c>
      <c r="E5" s="16"/>
      <c r="F5" s="16"/>
    </row>
    <row r="6" spans="1:6" ht="39.75" customHeight="1" x14ac:dyDescent="0.25">
      <c r="A6" s="15" t="s">
        <v>80</v>
      </c>
      <c r="B6" s="15" t="s">
        <v>81</v>
      </c>
      <c r="C6" s="15" t="s">
        <v>82</v>
      </c>
      <c r="D6" s="15" t="s">
        <v>83</v>
      </c>
      <c r="E6" s="16"/>
      <c r="F6" s="16"/>
    </row>
    <row r="7" spans="1:6" ht="39.75" customHeight="1" x14ac:dyDescent="0.25">
      <c r="A7" s="15" t="s">
        <v>84</v>
      </c>
      <c r="B7" s="15" t="s">
        <v>85</v>
      </c>
      <c r="C7" s="15" t="s">
        <v>86</v>
      </c>
      <c r="D7" s="15" t="s">
        <v>87</v>
      </c>
      <c r="E7" s="16"/>
      <c r="F7" s="16"/>
    </row>
    <row r="8" spans="1:6" ht="39.75" customHeight="1" x14ac:dyDescent="0.25">
      <c r="A8" s="15" t="s">
        <v>88</v>
      </c>
      <c r="B8" s="15" t="s">
        <v>89</v>
      </c>
      <c r="C8" s="15" t="s">
        <v>90</v>
      </c>
      <c r="D8" s="15" t="s">
        <v>91</v>
      </c>
      <c r="E8" s="16"/>
      <c r="F8" s="16"/>
    </row>
    <row r="9" spans="1:6" ht="39.75" customHeight="1" x14ac:dyDescent="0.25">
      <c r="A9" s="15" t="s">
        <v>92</v>
      </c>
      <c r="B9" s="15" t="s">
        <v>93</v>
      </c>
      <c r="C9" s="15" t="s">
        <v>94</v>
      </c>
      <c r="D9" s="15" t="s">
        <v>95</v>
      </c>
      <c r="E9" s="16"/>
      <c r="F9" s="16"/>
    </row>
    <row r="10" spans="1:6" ht="39.75" customHeight="1" x14ac:dyDescent="0.25">
      <c r="A10" s="15" t="s">
        <v>96</v>
      </c>
      <c r="B10" s="15" t="s">
        <v>97</v>
      </c>
      <c r="C10" s="15" t="s">
        <v>98</v>
      </c>
      <c r="D10" s="15" t="s">
        <v>99</v>
      </c>
      <c r="E10" s="16"/>
      <c r="F10" s="16"/>
    </row>
    <row r="11" spans="1:6" ht="30" customHeight="1" x14ac:dyDescent="0.25">
      <c r="A11" s="17" t="s">
        <v>100</v>
      </c>
      <c r="B11" s="18" t="s">
        <v>77</v>
      </c>
      <c r="C11" s="18" t="s">
        <v>101</v>
      </c>
      <c r="D11" s="18" t="s">
        <v>102</v>
      </c>
      <c r="E11" s="18">
        <v>4</v>
      </c>
      <c r="F11" s="18" t="s">
        <v>103</v>
      </c>
    </row>
    <row r="13" spans="1:6" ht="27.75" customHeight="1" x14ac:dyDescent="0.25">
      <c r="A13" s="49" t="s">
        <v>104</v>
      </c>
      <c r="B13" s="49"/>
      <c r="C13" s="49"/>
      <c r="D13" s="49"/>
      <c r="E13" s="49"/>
      <c r="F13" s="49"/>
    </row>
    <row r="15" spans="1:6" ht="30" customHeight="1" x14ac:dyDescent="0.25">
      <c r="A15" s="3" t="s">
        <v>105</v>
      </c>
      <c r="B15" s="3"/>
      <c r="C15" s="3"/>
      <c r="D15" s="3"/>
      <c r="E15" s="3"/>
      <c r="F15" s="3"/>
    </row>
  </sheetData>
  <sheetProtection sheet="1" formatColumns="0" formatRows="0"/>
  <mergeCells count="2">
    <mergeCell ref="A13:F13"/>
    <mergeCell ref="A15:F15"/>
  </mergeCells>
  <dataValidations count="1">
    <dataValidation type="list" allowBlank="1" promptTitle="Readiness" prompt="Pick 1–5 (see scoring guide below)" sqref="E5:E10" xr:uid="{00000000-0002-0000-0200-000000000000}">
      <formula1>"1,2,3,4,5"</formula1>
      <formula2>0</formula2>
    </dataValidation>
  </dataValidations>
  <pageMargins left="0.75" right="0.75" top="1" bottom="1"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7"/>
  <sheetViews>
    <sheetView zoomScaleNormal="100" workbookViewId="0">
      <pane ySplit="4" topLeftCell="A5" activePane="bottomLeft" state="frozen"/>
      <selection pane="bottomLeft" activeCell="H15" sqref="H15"/>
    </sheetView>
  </sheetViews>
  <sheetFormatPr defaultColWidth="8.7109375" defaultRowHeight="15" x14ac:dyDescent="0.25"/>
  <cols>
    <col min="1" max="1" width="24" customWidth="1"/>
    <col min="2" max="2" width="48" customWidth="1"/>
    <col min="3" max="3" width="16" customWidth="1"/>
    <col min="4" max="4" width="20" customWidth="1"/>
    <col min="5" max="5" width="36" customWidth="1"/>
  </cols>
  <sheetData>
    <row r="1" spans="1:5" ht="18" x14ac:dyDescent="0.25">
      <c r="A1" s="4" t="s">
        <v>106</v>
      </c>
    </row>
    <row r="2" spans="1:5" x14ac:dyDescent="0.25">
      <c r="A2" s="46" t="s">
        <v>285</v>
      </c>
      <c r="B2" s="47"/>
      <c r="C2" s="47"/>
      <c r="D2" s="47"/>
    </row>
    <row r="4" spans="1:5" x14ac:dyDescent="0.25">
      <c r="A4" s="11" t="s">
        <v>107</v>
      </c>
      <c r="B4" s="11" t="s">
        <v>71</v>
      </c>
      <c r="C4" s="11" t="s">
        <v>108</v>
      </c>
      <c r="D4" s="11" t="s">
        <v>109</v>
      </c>
      <c r="E4" s="11" t="s">
        <v>110</v>
      </c>
    </row>
    <row r="5" spans="1:5" ht="27.75" customHeight="1" x14ac:dyDescent="0.25">
      <c r="A5" s="14" t="s">
        <v>111</v>
      </c>
      <c r="B5" s="15" t="s">
        <v>112</v>
      </c>
      <c r="C5" s="16"/>
      <c r="D5" s="16"/>
      <c r="E5" s="16"/>
    </row>
    <row r="6" spans="1:5" ht="27.75" customHeight="1" x14ac:dyDescent="0.25">
      <c r="A6" s="14" t="s">
        <v>113</v>
      </c>
      <c r="B6" s="15" t="s">
        <v>114</v>
      </c>
      <c r="C6" s="16"/>
      <c r="D6" s="16"/>
      <c r="E6" s="16"/>
    </row>
    <row r="7" spans="1:5" ht="27.75" customHeight="1" x14ac:dyDescent="0.25">
      <c r="A7" s="14" t="s">
        <v>115</v>
      </c>
      <c r="B7" s="15" t="s">
        <v>116</v>
      </c>
      <c r="C7" s="16"/>
      <c r="D7" s="16"/>
      <c r="E7" s="16"/>
    </row>
    <row r="8" spans="1:5" ht="27.75" customHeight="1" x14ac:dyDescent="0.25">
      <c r="A8" s="14" t="s">
        <v>117</v>
      </c>
      <c r="B8" s="15" t="s">
        <v>118</v>
      </c>
      <c r="C8" s="16"/>
      <c r="D8" s="16"/>
      <c r="E8" s="16"/>
    </row>
    <row r="9" spans="1:5" ht="27.75" customHeight="1" x14ac:dyDescent="0.25">
      <c r="A9" s="14" t="s">
        <v>119</v>
      </c>
      <c r="B9" s="15" t="s">
        <v>120</v>
      </c>
      <c r="C9" s="16"/>
      <c r="D9" s="16"/>
      <c r="E9" s="16"/>
    </row>
    <row r="10" spans="1:5" ht="27.75" customHeight="1" x14ac:dyDescent="0.25">
      <c r="A10" s="14" t="s">
        <v>121</v>
      </c>
      <c r="B10" s="15" t="s">
        <v>122</v>
      </c>
      <c r="C10" s="16"/>
      <c r="D10" s="16"/>
      <c r="E10" s="16"/>
    </row>
    <row r="11" spans="1:5" ht="27.75" customHeight="1" x14ac:dyDescent="0.25">
      <c r="A11" s="14" t="s">
        <v>62</v>
      </c>
      <c r="B11" s="15" t="s">
        <v>123</v>
      </c>
      <c r="C11" s="16"/>
      <c r="D11" s="16"/>
      <c r="E11" s="16"/>
    </row>
    <row r="12" spans="1:5" ht="27.75" customHeight="1" x14ac:dyDescent="0.25">
      <c r="A12" s="14" t="s">
        <v>124</v>
      </c>
      <c r="B12" s="15" t="s">
        <v>125</v>
      </c>
      <c r="C12" s="16"/>
      <c r="D12" s="16"/>
      <c r="E12" s="16"/>
    </row>
    <row r="14" spans="1:5" x14ac:dyDescent="0.25">
      <c r="A14" s="6" t="s">
        <v>126</v>
      </c>
      <c r="B14" s="19" t="str">
        <f>COUNTIF(C5:C12,"Ready")&amp;" of 8"</f>
        <v>0 of 8</v>
      </c>
    </row>
    <row r="15" spans="1:5" ht="83.25" customHeight="1" x14ac:dyDescent="0.25">
      <c r="A15" s="6" t="s">
        <v>127</v>
      </c>
      <c r="B15" s="2" t="s">
        <v>128</v>
      </c>
      <c r="C15" s="2"/>
      <c r="D15" s="2"/>
      <c r="E15" s="2"/>
    </row>
    <row r="17" spans="1:5" ht="30" customHeight="1" x14ac:dyDescent="0.25">
      <c r="A17" s="3" t="s">
        <v>129</v>
      </c>
      <c r="B17" s="3"/>
      <c r="C17" s="3"/>
      <c r="D17" s="3"/>
      <c r="E17" s="3"/>
    </row>
  </sheetData>
  <sheetProtection sheet="1" formatColumns="0" formatRows="0"/>
  <mergeCells count="2">
    <mergeCell ref="B15:E15"/>
    <mergeCell ref="A17:E17"/>
  </mergeCells>
  <dataValidations count="2">
    <dataValidation type="list" allowBlank="1" sqref="C5:C12" xr:uid="{00000000-0002-0000-0300-000000000000}">
      <formula1>"Not started,In progress,Ready"</formula1>
      <formula2>0</formula2>
    </dataValidation>
    <dataValidation type="list" allowBlank="1" sqref="D5:D12" xr:uid="{00000000-0002-0000-0300-000001000000}">
      <formula1>"Founder,Bookkeeper,CPA,Operations,Payroll,Store manager"</formula1>
      <formula2>0</formula2>
    </dataValidation>
  </dataValidations>
  <pageMargins left="0.75" right="0.75" top="1" bottom="1" header="0.511811023622047" footer="0.511811023622047"/>
  <pageSetup fitToHeight="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9"/>
  <sheetViews>
    <sheetView zoomScaleNormal="100" workbookViewId="0">
      <pane xSplit="1" ySplit="4" topLeftCell="B5" activePane="bottomRight" state="frozen"/>
      <selection pane="topRight" activeCell="B1" sqref="B1"/>
      <selection pane="bottomLeft" activeCell="A5" sqref="A5"/>
      <selection pane="bottomRight" activeCell="I21" sqref="I21"/>
    </sheetView>
  </sheetViews>
  <sheetFormatPr defaultColWidth="8.7109375" defaultRowHeight="15" x14ac:dyDescent="0.25"/>
  <cols>
    <col min="1" max="1" width="27.28515625" customWidth="1"/>
    <col min="2" max="5" width="14" customWidth="1"/>
    <col min="6" max="6" width="12" customWidth="1"/>
    <col min="9" max="9" width="24.42578125" customWidth="1"/>
  </cols>
  <sheetData>
    <row r="1" spans="1:9" ht="18" x14ac:dyDescent="0.25">
      <c r="A1" s="4" t="s">
        <v>130</v>
      </c>
    </row>
    <row r="2" spans="1:9" x14ac:dyDescent="0.25">
      <c r="A2" s="50" t="s">
        <v>131</v>
      </c>
      <c r="B2" s="50"/>
      <c r="C2" s="50"/>
      <c r="D2" s="50"/>
      <c r="E2" s="50"/>
      <c r="F2" s="50"/>
      <c r="G2" s="50"/>
      <c r="H2" s="50"/>
      <c r="I2" s="50"/>
    </row>
    <row r="3" spans="1:9" x14ac:dyDescent="0.25">
      <c r="A3" s="20" t="s">
        <v>132</v>
      </c>
    </row>
    <row r="4" spans="1:9" x14ac:dyDescent="0.25">
      <c r="A4" s="11" t="s">
        <v>133</v>
      </c>
      <c r="B4" s="11" t="s">
        <v>134</v>
      </c>
      <c r="C4" s="11" t="s">
        <v>135</v>
      </c>
      <c r="D4" s="11" t="s">
        <v>136</v>
      </c>
      <c r="E4" s="11" t="s">
        <v>137</v>
      </c>
      <c r="F4" s="11" t="s">
        <v>108</v>
      </c>
    </row>
    <row r="5" spans="1:9" x14ac:dyDescent="0.25">
      <c r="A5" s="21" t="s">
        <v>138</v>
      </c>
      <c r="B5" s="22">
        <v>50000</v>
      </c>
      <c r="C5" s="22">
        <v>48500</v>
      </c>
      <c r="D5" s="23">
        <f t="shared" ref="D5:D13" si="0">IF(OR(B5="",C5=""),"",B5-C5)</f>
        <v>1500</v>
      </c>
      <c r="E5" s="22">
        <v>50000</v>
      </c>
      <c r="F5" s="21" t="str">
        <f>IF(OR(B5="",E5=""),"",IF(B5&gt;=E5,"On track","Watch"))</f>
        <v>On track</v>
      </c>
    </row>
    <row r="6" spans="1:9" x14ac:dyDescent="0.25">
      <c r="A6" s="21" t="s">
        <v>139</v>
      </c>
      <c r="B6" s="22">
        <v>26000</v>
      </c>
      <c r="C6" s="22">
        <v>25200</v>
      </c>
      <c r="D6" s="23">
        <f t="shared" si="0"/>
        <v>800</v>
      </c>
      <c r="E6" s="22">
        <v>28000</v>
      </c>
      <c r="F6" s="21" t="str">
        <f>IF(OR(B6="",E6=""),"",IF(B6&gt;=E6,"On track","Watch"))</f>
        <v>Watch</v>
      </c>
    </row>
    <row r="7" spans="1:9" x14ac:dyDescent="0.25">
      <c r="A7" s="21" t="s">
        <v>140</v>
      </c>
      <c r="B7" s="24">
        <f>IF(OR(B5="",B6="",B5=0),"",B6/B5)</f>
        <v>0.52</v>
      </c>
      <c r="C7" s="24">
        <f>IF(OR(C5="",C6="",C5=0),"",C6/C5)</f>
        <v>0.51958762886597942</v>
      </c>
      <c r="D7" s="24">
        <f t="shared" si="0"/>
        <v>4.1237113402059489E-4</v>
      </c>
      <c r="E7" s="25">
        <v>0.55000000000000004</v>
      </c>
      <c r="F7" s="21" t="str">
        <f>IF(OR(B7="",E7=""),"",IF(B7&gt;=E7,"On track","Watch"))</f>
        <v>Watch</v>
      </c>
    </row>
    <row r="8" spans="1:9" x14ac:dyDescent="0.25">
      <c r="A8" s="21" t="s">
        <v>141</v>
      </c>
      <c r="B8" s="22">
        <v>28000</v>
      </c>
      <c r="C8" s="22">
        <v>27500</v>
      </c>
      <c r="D8" s="23">
        <f t="shared" si="0"/>
        <v>500</v>
      </c>
      <c r="E8" s="22">
        <v>28000</v>
      </c>
      <c r="F8" s="21" t="str">
        <f>IF(OR(B8="",E8=""),"",IF(B8&lt;=E8,"On track","Watch"))</f>
        <v>On track</v>
      </c>
    </row>
    <row r="9" spans="1:9" x14ac:dyDescent="0.25">
      <c r="A9" s="21" t="s">
        <v>142</v>
      </c>
      <c r="B9" s="26">
        <v>-2000</v>
      </c>
      <c r="C9" s="26">
        <v>-2300</v>
      </c>
      <c r="D9" s="27">
        <f t="shared" si="0"/>
        <v>300</v>
      </c>
      <c r="E9" s="26">
        <v>0</v>
      </c>
      <c r="F9" s="21" t="str">
        <f>IF(OR(B9="",E9=""),"",IF(B9&gt;=E9,"On track","Watch"))</f>
        <v>Watch</v>
      </c>
    </row>
    <row r="10" spans="1:9" x14ac:dyDescent="0.25">
      <c r="A10" s="21" t="s">
        <v>143</v>
      </c>
      <c r="B10" s="22">
        <v>75000</v>
      </c>
      <c r="C10" s="22">
        <v>77000</v>
      </c>
      <c r="D10" s="23">
        <f t="shared" si="0"/>
        <v>-2000</v>
      </c>
      <c r="E10" s="22">
        <v>90000</v>
      </c>
      <c r="F10" s="21" t="str">
        <f>IF(OR(B10="",E10=""),"",IF(B10&gt;=E10,"On track","Watch"))</f>
        <v>Watch</v>
      </c>
    </row>
    <row r="11" spans="1:9" x14ac:dyDescent="0.25">
      <c r="A11" s="21" t="s">
        <v>144</v>
      </c>
      <c r="B11" s="28">
        <f>IF(OR(B10="",B8="",B8=0),"",B10/B8)</f>
        <v>2.6785714285714284</v>
      </c>
      <c r="C11" s="28">
        <f>IF(OR(C10="",C8="",C8=0),"",C10/C8)</f>
        <v>2.8</v>
      </c>
      <c r="D11" s="28">
        <f t="shared" si="0"/>
        <v>-0.12142857142857144</v>
      </c>
      <c r="E11" s="29">
        <v>2</v>
      </c>
      <c r="F11" s="21" t="str">
        <f>IF(OR(B11="",E11=""),"",IF(B11&gt;=E11,"On track","Watch"))</f>
        <v>On track</v>
      </c>
    </row>
    <row r="12" spans="1:9" x14ac:dyDescent="0.25">
      <c r="A12" s="21" t="s">
        <v>145</v>
      </c>
      <c r="B12" s="29">
        <v>2.1</v>
      </c>
      <c r="C12" s="29">
        <v>1.9</v>
      </c>
      <c r="D12" s="28">
        <f t="shared" si="0"/>
        <v>0.20000000000000018</v>
      </c>
      <c r="E12" s="29">
        <v>2.5</v>
      </c>
      <c r="F12" s="21" t="str">
        <f>IF(OR(B12="",E12=""),"",IF(B12&gt;=E12,"On track","Watch"))</f>
        <v>Watch</v>
      </c>
    </row>
    <row r="13" spans="1:9" x14ac:dyDescent="0.25">
      <c r="A13" s="21" t="s">
        <v>146</v>
      </c>
      <c r="B13" s="25">
        <v>0.24</v>
      </c>
      <c r="C13" s="25">
        <v>0.23</v>
      </c>
      <c r="D13" s="24">
        <f t="shared" si="0"/>
        <v>9.9999999999999811E-3</v>
      </c>
      <c r="E13" s="25">
        <v>0.25</v>
      </c>
      <c r="F13" s="21" t="str">
        <f>IF(OR(B13="",E13=""),"",IF(B13&lt;=E13,"On track","Watch"))</f>
        <v>On track</v>
      </c>
    </row>
    <row r="15" spans="1:9" x14ac:dyDescent="0.25">
      <c r="A15" s="6" t="s">
        <v>147</v>
      </c>
    </row>
    <row r="16" spans="1:9" x14ac:dyDescent="0.25">
      <c r="A16" s="11" t="s">
        <v>133</v>
      </c>
      <c r="B16" s="11" t="s">
        <v>134</v>
      </c>
      <c r="C16" s="11" t="s">
        <v>135</v>
      </c>
      <c r="D16" s="11" t="s">
        <v>136</v>
      </c>
      <c r="E16" s="11" t="s">
        <v>137</v>
      </c>
      <c r="F16" s="11" t="s">
        <v>108</v>
      </c>
    </row>
    <row r="17" spans="1:6" x14ac:dyDescent="0.25">
      <c r="A17" s="21" t="s">
        <v>138</v>
      </c>
      <c r="B17" s="22"/>
      <c r="C17" s="22"/>
      <c r="D17" s="23" t="str">
        <f t="shared" ref="D17:D25" si="1">IF(OR(B17="",C17=""),"",B17-C17)</f>
        <v/>
      </c>
      <c r="E17" s="22"/>
      <c r="F17" s="21" t="str">
        <f>IF(OR(B17="",E17=""),"",IF(B17&gt;=E17,"On track","Watch"))</f>
        <v/>
      </c>
    </row>
    <row r="18" spans="1:6" x14ac:dyDescent="0.25">
      <c r="A18" s="21" t="s">
        <v>139</v>
      </c>
      <c r="B18" s="22"/>
      <c r="C18" s="22"/>
      <c r="D18" s="23" t="str">
        <f t="shared" si="1"/>
        <v/>
      </c>
      <c r="E18" s="22"/>
      <c r="F18" s="21" t="str">
        <f>IF(OR(B18="",E18=""),"",IF(B18&gt;=E18,"On track","Watch"))</f>
        <v/>
      </c>
    </row>
    <row r="19" spans="1:6" x14ac:dyDescent="0.25">
      <c r="A19" s="21" t="s">
        <v>140</v>
      </c>
      <c r="B19" s="24" t="str">
        <f>IF(OR(B17="",B18="",B17=0),"",B18/B17)</f>
        <v/>
      </c>
      <c r="C19" s="24" t="str">
        <f>IF(OR(C17="",C18="",C17=0),"",C18/C17)</f>
        <v/>
      </c>
      <c r="D19" s="24" t="str">
        <f t="shared" si="1"/>
        <v/>
      </c>
      <c r="E19" s="25"/>
      <c r="F19" s="21" t="str">
        <f>IF(OR(B19="",E19=""),"",IF(B19&gt;=E19,"On track","Watch"))</f>
        <v/>
      </c>
    </row>
    <row r="20" spans="1:6" x14ac:dyDescent="0.25">
      <c r="A20" s="21" t="s">
        <v>141</v>
      </c>
      <c r="B20" s="22"/>
      <c r="C20" s="22"/>
      <c r="D20" s="23" t="str">
        <f t="shared" si="1"/>
        <v/>
      </c>
      <c r="E20" s="22"/>
      <c r="F20" s="21" t="str">
        <f>IF(OR(B20="",E20=""),"",IF(B20&lt;=E20,"On track","Watch"))</f>
        <v/>
      </c>
    </row>
    <row r="21" spans="1:6" x14ac:dyDescent="0.25">
      <c r="A21" s="21" t="s">
        <v>142</v>
      </c>
      <c r="B21" s="26"/>
      <c r="C21" s="26"/>
      <c r="D21" s="27" t="str">
        <f t="shared" si="1"/>
        <v/>
      </c>
      <c r="E21" s="26"/>
      <c r="F21" s="21" t="str">
        <f>IF(OR(B21="",E21=""),"",IF(B21&gt;=E21,"On track","Watch"))</f>
        <v/>
      </c>
    </row>
    <row r="22" spans="1:6" x14ac:dyDescent="0.25">
      <c r="A22" s="21" t="s">
        <v>143</v>
      </c>
      <c r="B22" s="22"/>
      <c r="C22" s="22"/>
      <c r="D22" s="23" t="str">
        <f t="shared" si="1"/>
        <v/>
      </c>
      <c r="E22" s="22"/>
      <c r="F22" s="21" t="str">
        <f>IF(OR(B22="",E22=""),"",IF(B22&gt;=E22,"On track","Watch"))</f>
        <v/>
      </c>
    </row>
    <row r="23" spans="1:6" x14ac:dyDescent="0.25">
      <c r="A23" s="21" t="s">
        <v>144</v>
      </c>
      <c r="B23" s="28" t="str">
        <f>IF(OR(B22="",B20="",B20=0),"",B22/B20)</f>
        <v/>
      </c>
      <c r="C23" s="28" t="str">
        <f>IF(OR(C22="",C20="",C20=0),"",C22/C20)</f>
        <v/>
      </c>
      <c r="D23" s="28" t="str">
        <f t="shared" si="1"/>
        <v/>
      </c>
      <c r="E23" s="29"/>
      <c r="F23" s="21" t="str">
        <f>IF(OR(B23="",E23=""),"",IF(B23&gt;=E23,"On track","Watch"))</f>
        <v/>
      </c>
    </row>
    <row r="24" spans="1:6" x14ac:dyDescent="0.25">
      <c r="A24" s="21" t="s">
        <v>145</v>
      </c>
      <c r="B24" s="29"/>
      <c r="C24" s="29"/>
      <c r="D24" s="28" t="str">
        <f t="shared" si="1"/>
        <v/>
      </c>
      <c r="E24" s="29"/>
      <c r="F24" s="21" t="str">
        <f>IF(OR(B24="",E24=""),"",IF(B24&gt;=E24,"On track","Watch"))</f>
        <v/>
      </c>
    </row>
    <row r="25" spans="1:6" x14ac:dyDescent="0.25">
      <c r="A25" s="21" t="s">
        <v>146</v>
      </c>
      <c r="B25" s="25"/>
      <c r="C25" s="25"/>
      <c r="D25" s="24" t="str">
        <f t="shared" si="1"/>
        <v/>
      </c>
      <c r="E25" s="25"/>
      <c r="F25" s="21" t="str">
        <f>IF(OR(B25="",E25=""),"",IF(B25&lt;=E25,"On track","Watch"))</f>
        <v/>
      </c>
    </row>
    <row r="27" spans="1:6" ht="43.5" customHeight="1" x14ac:dyDescent="0.25">
      <c r="A27" s="49" t="s">
        <v>148</v>
      </c>
      <c r="B27" s="49"/>
      <c r="C27" s="49"/>
      <c r="D27" s="49"/>
      <c r="E27" s="49"/>
      <c r="F27" s="49"/>
    </row>
    <row r="29" spans="1:6" ht="30" customHeight="1" x14ac:dyDescent="0.25">
      <c r="A29" s="3" t="s">
        <v>149</v>
      </c>
      <c r="B29" s="3"/>
      <c r="C29" s="3"/>
      <c r="D29" s="3"/>
      <c r="E29" s="3"/>
      <c r="F29" s="3"/>
    </row>
  </sheetData>
  <sheetProtection sheet="1" formatColumns="0" formatRows="0"/>
  <mergeCells count="3">
    <mergeCell ref="A27:F27"/>
    <mergeCell ref="A29:F29"/>
    <mergeCell ref="A2:I2"/>
  </mergeCells>
  <conditionalFormatting sqref="F5:F13">
    <cfRule type="expression" dxfId="5" priority="2">
      <formula>$F5="Watch"</formula>
    </cfRule>
    <cfRule type="expression" dxfId="4" priority="3">
      <formula>$F5="On track"</formula>
    </cfRule>
  </conditionalFormatting>
  <conditionalFormatting sqref="F17:F25">
    <cfRule type="expression" dxfId="3" priority="4">
      <formula>$F17="Watch"</formula>
    </cfRule>
    <cfRule type="expression" dxfId="2" priority="5">
      <formula>$F17="On track"</formula>
    </cfRule>
  </conditionalFormatting>
  <pageMargins left="0.75" right="0.75" top="1" bottom="1" header="0.511811023622047" footer="0.511811023622047"/>
  <pageSetup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19"/>
  <sheetViews>
    <sheetView zoomScaleNormal="100" workbookViewId="0">
      <pane ySplit="4" topLeftCell="A5" activePane="bottomLeft" state="frozen"/>
      <selection pane="bottomLeft" activeCell="G15" sqref="G15"/>
    </sheetView>
  </sheetViews>
  <sheetFormatPr defaultColWidth="8.7109375" defaultRowHeight="15" x14ac:dyDescent="0.25"/>
  <cols>
    <col min="1" max="1" width="52" customWidth="1"/>
    <col min="2" max="3" width="24" customWidth="1"/>
  </cols>
  <sheetData>
    <row r="1" spans="1:3" ht="18" x14ac:dyDescent="0.25">
      <c r="A1" s="4" t="s">
        <v>150</v>
      </c>
    </row>
    <row r="2" spans="1:3" x14ac:dyDescent="0.25">
      <c r="A2" s="50" t="s">
        <v>151</v>
      </c>
      <c r="B2" s="50"/>
      <c r="C2" s="50"/>
    </row>
    <row r="4" spans="1:3" ht="25.5" x14ac:dyDescent="0.25">
      <c r="A4" s="11" t="s">
        <v>152</v>
      </c>
      <c r="B4" s="11" t="s">
        <v>100</v>
      </c>
      <c r="C4" s="11" t="s">
        <v>153</v>
      </c>
    </row>
    <row r="5" spans="1:3" ht="25.5" customHeight="1" x14ac:dyDescent="0.25">
      <c r="A5" s="14" t="s">
        <v>154</v>
      </c>
      <c r="B5" s="30">
        <v>40</v>
      </c>
      <c r="C5" s="30"/>
    </row>
    <row r="6" spans="1:3" ht="25.5" customHeight="1" x14ac:dyDescent="0.25">
      <c r="A6" s="14" t="s">
        <v>155</v>
      </c>
      <c r="B6" s="30">
        <v>19.2</v>
      </c>
      <c r="C6" s="30"/>
    </row>
    <row r="7" spans="1:3" ht="25.5" customHeight="1" x14ac:dyDescent="0.25">
      <c r="A7" s="14" t="s">
        <v>156</v>
      </c>
      <c r="B7" s="22">
        <v>28000</v>
      </c>
      <c r="C7" s="22"/>
    </row>
    <row r="8" spans="1:3" ht="25.5" customHeight="1" x14ac:dyDescent="0.25">
      <c r="A8" s="14" t="s">
        <v>157</v>
      </c>
      <c r="B8" s="22">
        <v>10000</v>
      </c>
      <c r="C8" s="22"/>
    </row>
    <row r="9" spans="1:3" ht="30" customHeight="1" x14ac:dyDescent="0.25">
      <c r="B9" s="31" t="str">
        <f>IF(AND(ISNUMBER(B5),ISNUMBER(B6),B6&gt;=B5),"⚠ Variable cost is at or above selling price — every sale loses money. Adjust price or cost before reading the results.","")</f>
        <v/>
      </c>
      <c r="C9" s="31" t="str">
        <f>IF(AND(ISNUMBER(C5),ISNUMBER(C6),C6&gt;=C5),"⚠ Variable cost is at or above selling price — every sale loses money. Adjust price or cost before reading the results.","")</f>
        <v/>
      </c>
    </row>
    <row r="10" spans="1:3" x14ac:dyDescent="0.25">
      <c r="A10" s="8" t="s">
        <v>158</v>
      </c>
    </row>
    <row r="11" spans="1:3" ht="24" customHeight="1" x14ac:dyDescent="0.25">
      <c r="A11" s="14" t="s">
        <v>159</v>
      </c>
      <c r="B11" s="32">
        <f>B5-B6</f>
        <v>20.8</v>
      </c>
      <c r="C11" s="32" t="str">
        <f>IF(OR(C5="",C6=""),"",C5-C6)</f>
        <v/>
      </c>
    </row>
    <row r="12" spans="1:3" ht="24" customHeight="1" x14ac:dyDescent="0.25">
      <c r="A12" s="14" t="s">
        <v>160</v>
      </c>
      <c r="B12" s="33">
        <f>IF(B5-B6&lt;=0,"—",(B5-B6)/B5)</f>
        <v>0.52</v>
      </c>
      <c r="C12" s="33" t="str">
        <f>IF(OR(C5="",C6=""),"",IF(C5-C6&lt;=0,"—",IF(C5=0,"",(C5-C6)/C5)))</f>
        <v/>
      </c>
    </row>
    <row r="13" spans="1:3" ht="24" customHeight="1" x14ac:dyDescent="0.25">
      <c r="A13" s="14" t="s">
        <v>161</v>
      </c>
      <c r="B13" s="34">
        <f>IF(B5-B6&lt;=0,"—",ROUNDUP(B7/(B5-B6),0))</f>
        <v>1347</v>
      </c>
      <c r="C13" s="34" t="str">
        <f>IF(OR(C5="",C6=""),"",IF(C5-C6&lt;=0,"—",IF(C7="","",ROUNDUP(C7/(C5-C6),0))))</f>
        <v/>
      </c>
    </row>
    <row r="14" spans="1:3" ht="24" customHeight="1" x14ac:dyDescent="0.25">
      <c r="A14" s="14" t="s">
        <v>162</v>
      </c>
      <c r="B14" s="35">
        <f>IF(B5-B6&lt;=0,"—",ROUNDUP(B7/(B5-B6),0)*B5)</f>
        <v>53880</v>
      </c>
      <c r="C14" s="35" t="str">
        <f>IF(OR(C5="",C6=""),"",IF(C5-C6&lt;=0,"—",IF(C7="","",ROUNDUP(C7/(C5-C6),0)*C5)))</f>
        <v/>
      </c>
    </row>
    <row r="15" spans="1:3" ht="24" customHeight="1" x14ac:dyDescent="0.25">
      <c r="A15" s="14" t="s">
        <v>163</v>
      </c>
      <c r="B15" s="34">
        <f>IF(B5-B6&lt;=0,"—",ROUNDUP((B7+B8)/(B5-B6),0))</f>
        <v>1827</v>
      </c>
      <c r="C15" s="34" t="str">
        <f>IF(OR(C5="",C6=""),"",IF(C5-C6&lt;=0,"—",IF(OR(C7="",C8=""),"",ROUNDUP((C7+C8)/(C5-C6),0))))</f>
        <v/>
      </c>
    </row>
    <row r="17" spans="1:3" ht="43.5" customHeight="1" x14ac:dyDescent="0.25">
      <c r="A17" s="49" t="s">
        <v>164</v>
      </c>
      <c r="B17" s="49"/>
      <c r="C17" s="49"/>
    </row>
    <row r="19" spans="1:3" ht="30" customHeight="1" x14ac:dyDescent="0.25">
      <c r="A19" s="3" t="s">
        <v>165</v>
      </c>
      <c r="B19" s="3"/>
      <c r="C19" s="3"/>
    </row>
  </sheetData>
  <sheetProtection sheet="1" formatColumns="0" formatRows="0"/>
  <mergeCells count="3">
    <mergeCell ref="A17:C17"/>
    <mergeCell ref="A19:C19"/>
    <mergeCell ref="A2:C2"/>
  </mergeCells>
  <pageMargins left="0.75" right="0.75" top="1" bottom="1" header="0.511811023622047" footer="0.511811023622047"/>
  <pageSetup fitToHeight="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40"/>
  <sheetViews>
    <sheetView zoomScaleNormal="100" workbookViewId="0">
      <pane xSplit="1" ySplit="1" topLeftCell="B2" activePane="bottomRight" state="frozen"/>
      <selection pane="topRight" activeCell="B1" sqref="B1"/>
      <selection pane="bottomLeft" activeCell="A2" sqref="A2"/>
      <selection pane="bottomRight" activeCell="A40" sqref="A40:N40"/>
    </sheetView>
  </sheetViews>
  <sheetFormatPr defaultColWidth="8.7109375" defaultRowHeight="15" x14ac:dyDescent="0.25"/>
  <cols>
    <col min="1" max="1" width="73.42578125" customWidth="1"/>
    <col min="2" max="13" width="10.85546875" customWidth="1"/>
    <col min="14" max="14" width="12.42578125" customWidth="1"/>
  </cols>
  <sheetData>
    <row r="1" spans="1:14" ht="18" x14ac:dyDescent="0.25">
      <c r="A1" s="4" t="s">
        <v>166</v>
      </c>
    </row>
    <row r="2" spans="1:14" x14ac:dyDescent="0.25">
      <c r="A2" s="50" t="s">
        <v>167</v>
      </c>
      <c r="B2" s="50"/>
      <c r="C2" s="50"/>
      <c r="D2" s="50"/>
      <c r="E2" s="50"/>
      <c r="F2" s="50"/>
      <c r="G2" s="50"/>
      <c r="H2" s="50"/>
      <c r="I2" s="50"/>
      <c r="J2" s="50"/>
      <c r="K2" s="50"/>
      <c r="L2" s="50"/>
      <c r="M2" s="50"/>
      <c r="N2" s="50"/>
    </row>
    <row r="3" spans="1:14" x14ac:dyDescent="0.25">
      <c r="A3" s="8" t="s">
        <v>168</v>
      </c>
    </row>
    <row r="4" spans="1:14" x14ac:dyDescent="0.25">
      <c r="A4" s="36" t="s">
        <v>52</v>
      </c>
      <c r="B4" s="22">
        <v>50000</v>
      </c>
    </row>
    <row r="5" spans="1:14" ht="25.5" x14ac:dyDescent="0.25">
      <c r="A5" s="36" t="s">
        <v>169</v>
      </c>
      <c r="B5" s="37">
        <v>2</v>
      </c>
      <c r="C5" s="5" t="str">
        <f>CHOOSE(B5,"Careful","Base","Stretch")&amp;" scenario — "&amp;TEXT(CHOOSE(B5,B6,B7,B8),"0.0%")&amp;" monthly growth"</f>
        <v>Base scenario — 5.0% monthly growth</v>
      </c>
    </row>
    <row r="6" spans="1:14" x14ac:dyDescent="0.25">
      <c r="A6" s="36" t="s">
        <v>170</v>
      </c>
      <c r="B6" s="25">
        <v>0.02</v>
      </c>
    </row>
    <row r="7" spans="1:14" x14ac:dyDescent="0.25">
      <c r="A7" s="36" t="s">
        <v>171</v>
      </c>
      <c r="B7" s="25">
        <v>0.05</v>
      </c>
    </row>
    <row r="8" spans="1:14" x14ac:dyDescent="0.25">
      <c r="A8" s="36" t="s">
        <v>172</v>
      </c>
      <c r="B8" s="25">
        <v>0.08</v>
      </c>
    </row>
    <row r="9" spans="1:14" x14ac:dyDescent="0.25">
      <c r="A9" s="36" t="s">
        <v>173</v>
      </c>
      <c r="B9" s="25">
        <v>0.48</v>
      </c>
    </row>
    <row r="10" spans="1:14" ht="25.5" x14ac:dyDescent="0.25">
      <c r="A10" s="36" t="s">
        <v>174</v>
      </c>
      <c r="B10" s="22">
        <v>28000</v>
      </c>
    </row>
    <row r="11" spans="1:14" ht="25.5" x14ac:dyDescent="0.25">
      <c r="A11" s="36" t="s">
        <v>175</v>
      </c>
      <c r="B11" s="22">
        <v>4000</v>
      </c>
    </row>
    <row r="12" spans="1:14" x14ac:dyDescent="0.25">
      <c r="A12" s="36" t="s">
        <v>176</v>
      </c>
      <c r="B12" s="37">
        <v>7</v>
      </c>
    </row>
    <row r="13" spans="1:14" x14ac:dyDescent="0.25">
      <c r="A13" s="36" t="s">
        <v>177</v>
      </c>
      <c r="B13" s="22">
        <v>75000</v>
      </c>
    </row>
    <row r="14" spans="1:14" ht="38.25" x14ac:dyDescent="0.25">
      <c r="A14" s="36" t="s">
        <v>178</v>
      </c>
      <c r="B14" s="25">
        <v>0.25</v>
      </c>
    </row>
    <row r="16" spans="1:14" x14ac:dyDescent="0.25">
      <c r="A16" s="8" t="s">
        <v>179</v>
      </c>
    </row>
    <row r="17" spans="1:14" x14ac:dyDescent="0.25">
      <c r="A17" s="38" t="s">
        <v>180</v>
      </c>
      <c r="B17" s="38">
        <v>1</v>
      </c>
      <c r="C17" s="38">
        <v>2</v>
      </c>
      <c r="D17" s="38">
        <v>3</v>
      </c>
      <c r="E17" s="38">
        <v>4</v>
      </c>
      <c r="F17" s="38">
        <v>5</v>
      </c>
      <c r="G17" s="38">
        <v>6</v>
      </c>
      <c r="H17" s="38">
        <v>7</v>
      </c>
      <c r="I17" s="38">
        <v>8</v>
      </c>
      <c r="J17" s="38">
        <v>9</v>
      </c>
      <c r="K17" s="38">
        <v>10</v>
      </c>
      <c r="L17" s="38">
        <v>11</v>
      </c>
      <c r="M17" s="38">
        <v>12</v>
      </c>
    </row>
    <row r="18" spans="1:14" x14ac:dyDescent="0.25">
      <c r="A18" s="11"/>
      <c r="B18" s="11" t="s">
        <v>181</v>
      </c>
      <c r="C18" s="11" t="s">
        <v>182</v>
      </c>
      <c r="D18" s="11" t="s">
        <v>183</v>
      </c>
      <c r="E18" s="11" t="s">
        <v>184</v>
      </c>
      <c r="F18" s="11" t="s">
        <v>185</v>
      </c>
      <c r="G18" s="11" t="s">
        <v>186</v>
      </c>
      <c r="H18" s="11" t="s">
        <v>187</v>
      </c>
      <c r="I18" s="11" t="s">
        <v>188</v>
      </c>
      <c r="J18" s="11" t="s">
        <v>189</v>
      </c>
      <c r="K18" s="11" t="s">
        <v>190</v>
      </c>
      <c r="L18" s="11" t="s">
        <v>191</v>
      </c>
      <c r="M18" s="11" t="s">
        <v>192</v>
      </c>
      <c r="N18" s="11" t="s">
        <v>193</v>
      </c>
    </row>
    <row r="19" spans="1:14" x14ac:dyDescent="0.25">
      <c r="A19" s="21" t="s">
        <v>138</v>
      </c>
      <c r="B19" s="39">
        <f>$B$4</f>
        <v>50000</v>
      </c>
      <c r="C19" s="39">
        <f t="shared" ref="C19:M19" si="0">B19*(1+CHOOSE($B$5,$B$6,$B$7,$B$8))</f>
        <v>52500</v>
      </c>
      <c r="D19" s="39">
        <f t="shared" si="0"/>
        <v>55125</v>
      </c>
      <c r="E19" s="39">
        <f t="shared" si="0"/>
        <v>57881.25</v>
      </c>
      <c r="F19" s="39">
        <f t="shared" si="0"/>
        <v>60775.3125</v>
      </c>
      <c r="G19" s="39">
        <f t="shared" si="0"/>
        <v>63814.078125</v>
      </c>
      <c r="H19" s="39">
        <f t="shared" si="0"/>
        <v>67004.782031249997</v>
      </c>
      <c r="I19" s="39">
        <f t="shared" si="0"/>
        <v>70355.021132812501</v>
      </c>
      <c r="J19" s="39">
        <f t="shared" si="0"/>
        <v>73872.772189453128</v>
      </c>
      <c r="K19" s="39">
        <f t="shared" si="0"/>
        <v>77566.41079892579</v>
      </c>
      <c r="L19" s="39">
        <f t="shared" si="0"/>
        <v>81444.73133887208</v>
      </c>
      <c r="M19" s="39">
        <f t="shared" si="0"/>
        <v>85516.967905815691</v>
      </c>
      <c r="N19" s="39">
        <f t="shared" ref="N19:N24" si="1">SUM(B19:M19)</f>
        <v>795856.32602212916</v>
      </c>
    </row>
    <row r="20" spans="1:14" x14ac:dyDescent="0.25">
      <c r="A20" s="21" t="s">
        <v>194</v>
      </c>
      <c r="B20" s="39">
        <f t="shared" ref="B20:M20" si="2">B19*$B$9</f>
        <v>24000</v>
      </c>
      <c r="C20" s="39">
        <f t="shared" si="2"/>
        <v>25200</v>
      </c>
      <c r="D20" s="39">
        <f t="shared" si="2"/>
        <v>26460</v>
      </c>
      <c r="E20" s="39">
        <f t="shared" si="2"/>
        <v>27783</v>
      </c>
      <c r="F20" s="39">
        <f t="shared" si="2"/>
        <v>29172.149999999998</v>
      </c>
      <c r="G20" s="39">
        <f t="shared" si="2"/>
        <v>30630.7575</v>
      </c>
      <c r="H20" s="39">
        <f t="shared" si="2"/>
        <v>32162.295374999998</v>
      </c>
      <c r="I20" s="39">
        <f t="shared" si="2"/>
        <v>33770.410143749999</v>
      </c>
      <c r="J20" s="39">
        <f t="shared" si="2"/>
        <v>35458.930650937502</v>
      </c>
      <c r="K20" s="39">
        <f t="shared" si="2"/>
        <v>37231.877183484379</v>
      </c>
      <c r="L20" s="39">
        <f t="shared" si="2"/>
        <v>39093.471042658595</v>
      </c>
      <c r="M20" s="39">
        <f t="shared" si="2"/>
        <v>41048.144594791527</v>
      </c>
      <c r="N20" s="39">
        <f t="shared" si="1"/>
        <v>382011.03649062198</v>
      </c>
    </row>
    <row r="21" spans="1:14" x14ac:dyDescent="0.25">
      <c r="A21" s="40" t="s">
        <v>139</v>
      </c>
      <c r="B21" s="41">
        <f t="shared" ref="B21:M21" si="3">B19-B20</f>
        <v>26000</v>
      </c>
      <c r="C21" s="41">
        <f t="shared" si="3"/>
        <v>27300</v>
      </c>
      <c r="D21" s="41">
        <f t="shared" si="3"/>
        <v>28665</v>
      </c>
      <c r="E21" s="41">
        <f t="shared" si="3"/>
        <v>30098.25</v>
      </c>
      <c r="F21" s="41">
        <f t="shared" si="3"/>
        <v>31603.162500000002</v>
      </c>
      <c r="G21" s="41">
        <f t="shared" si="3"/>
        <v>33183.320625</v>
      </c>
      <c r="H21" s="41">
        <f t="shared" si="3"/>
        <v>34842.486656249996</v>
      </c>
      <c r="I21" s="41">
        <f t="shared" si="3"/>
        <v>36584.610989062501</v>
      </c>
      <c r="J21" s="41">
        <f t="shared" si="3"/>
        <v>38413.841538515626</v>
      </c>
      <c r="K21" s="41">
        <f t="shared" si="3"/>
        <v>40334.533615441411</v>
      </c>
      <c r="L21" s="41">
        <f t="shared" si="3"/>
        <v>42351.260296213484</v>
      </c>
      <c r="M21" s="41">
        <f t="shared" si="3"/>
        <v>44468.823311024164</v>
      </c>
      <c r="N21" s="41">
        <f t="shared" si="1"/>
        <v>413845.28953150718</v>
      </c>
    </row>
    <row r="22" spans="1:14" x14ac:dyDescent="0.25">
      <c r="A22" s="21" t="s">
        <v>141</v>
      </c>
      <c r="B22" s="39">
        <f t="shared" ref="B22:M22" si="4">$B$10+IF(B17&gt;=$B$12,$B$11,0)</f>
        <v>28000</v>
      </c>
      <c r="C22" s="39">
        <f t="shared" si="4"/>
        <v>28000</v>
      </c>
      <c r="D22" s="39">
        <f t="shared" si="4"/>
        <v>28000</v>
      </c>
      <c r="E22" s="39">
        <f t="shared" si="4"/>
        <v>28000</v>
      </c>
      <c r="F22" s="39">
        <f t="shared" si="4"/>
        <v>28000</v>
      </c>
      <c r="G22" s="39">
        <f t="shared" si="4"/>
        <v>28000</v>
      </c>
      <c r="H22" s="39">
        <f t="shared" si="4"/>
        <v>32000</v>
      </c>
      <c r="I22" s="39">
        <f t="shared" si="4"/>
        <v>32000</v>
      </c>
      <c r="J22" s="39">
        <f t="shared" si="4"/>
        <v>32000</v>
      </c>
      <c r="K22" s="39">
        <f t="shared" si="4"/>
        <v>32000</v>
      </c>
      <c r="L22" s="39">
        <f t="shared" si="4"/>
        <v>32000</v>
      </c>
      <c r="M22" s="39">
        <f t="shared" si="4"/>
        <v>32000</v>
      </c>
      <c r="N22" s="39">
        <f t="shared" si="1"/>
        <v>360000</v>
      </c>
    </row>
    <row r="23" spans="1:14" x14ac:dyDescent="0.25">
      <c r="A23" s="40" t="s">
        <v>195</v>
      </c>
      <c r="B23" s="42">
        <f t="shared" ref="B23:M23" si="5">B21-B22</f>
        <v>-2000</v>
      </c>
      <c r="C23" s="42">
        <f t="shared" si="5"/>
        <v>-700</v>
      </c>
      <c r="D23" s="42">
        <f t="shared" si="5"/>
        <v>665</v>
      </c>
      <c r="E23" s="42">
        <f t="shared" si="5"/>
        <v>2098.25</v>
      </c>
      <c r="F23" s="42">
        <f t="shared" si="5"/>
        <v>3603.1625000000022</v>
      </c>
      <c r="G23" s="42">
        <f t="shared" si="5"/>
        <v>5183.3206250000003</v>
      </c>
      <c r="H23" s="42">
        <f t="shared" si="5"/>
        <v>2842.4866562499956</v>
      </c>
      <c r="I23" s="42">
        <f t="shared" si="5"/>
        <v>4584.6109890625012</v>
      </c>
      <c r="J23" s="42">
        <f t="shared" si="5"/>
        <v>6413.8415385156259</v>
      </c>
      <c r="K23" s="42">
        <f t="shared" si="5"/>
        <v>8334.5336154414108</v>
      </c>
      <c r="L23" s="42">
        <f t="shared" si="5"/>
        <v>10351.260296213484</v>
      </c>
      <c r="M23" s="42">
        <f t="shared" si="5"/>
        <v>12468.823311024164</v>
      </c>
      <c r="N23" s="42">
        <f t="shared" si="1"/>
        <v>53845.289531507187</v>
      </c>
    </row>
    <row r="24" spans="1:14" x14ac:dyDescent="0.25">
      <c r="A24" s="21" t="s">
        <v>62</v>
      </c>
      <c r="B24" s="39">
        <f t="shared" ref="B24:M24" si="6">IF(B23&gt;0,B23*$B$14,0)</f>
        <v>0</v>
      </c>
      <c r="C24" s="39">
        <f t="shared" si="6"/>
        <v>0</v>
      </c>
      <c r="D24" s="39">
        <f t="shared" si="6"/>
        <v>166.25</v>
      </c>
      <c r="E24" s="39">
        <f t="shared" si="6"/>
        <v>524.5625</v>
      </c>
      <c r="F24" s="39">
        <f t="shared" si="6"/>
        <v>900.79062500000055</v>
      </c>
      <c r="G24" s="39">
        <f t="shared" si="6"/>
        <v>1295.8301562500001</v>
      </c>
      <c r="H24" s="39">
        <f t="shared" si="6"/>
        <v>710.62166406249889</v>
      </c>
      <c r="I24" s="39">
        <f t="shared" si="6"/>
        <v>1146.1527472656253</v>
      </c>
      <c r="J24" s="39">
        <f t="shared" si="6"/>
        <v>1603.4603846289065</v>
      </c>
      <c r="K24" s="39">
        <f t="shared" si="6"/>
        <v>2083.6334038603527</v>
      </c>
      <c r="L24" s="39">
        <f t="shared" si="6"/>
        <v>2587.8150740533711</v>
      </c>
      <c r="M24" s="39">
        <f t="shared" si="6"/>
        <v>3117.2058277560409</v>
      </c>
      <c r="N24" s="39">
        <f t="shared" si="1"/>
        <v>14136.322382876797</v>
      </c>
    </row>
    <row r="25" spans="1:14" x14ac:dyDescent="0.25">
      <c r="A25" s="21" t="s">
        <v>196</v>
      </c>
      <c r="B25" s="43">
        <f>$B$13</f>
        <v>75000</v>
      </c>
      <c r="C25" s="43">
        <f t="shared" ref="C25:M25" si="7">B26</f>
        <v>73000</v>
      </c>
      <c r="D25" s="43">
        <f t="shared" si="7"/>
        <v>72300</v>
      </c>
      <c r="E25" s="43">
        <f t="shared" si="7"/>
        <v>72798.75</v>
      </c>
      <c r="F25" s="43">
        <f t="shared" si="7"/>
        <v>74372.4375</v>
      </c>
      <c r="G25" s="43">
        <f t="shared" si="7"/>
        <v>77074.809375000012</v>
      </c>
      <c r="H25" s="43">
        <f t="shared" si="7"/>
        <v>80962.299843750006</v>
      </c>
      <c r="I25" s="43">
        <f t="shared" si="7"/>
        <v>83094.164835937496</v>
      </c>
      <c r="J25" s="43">
        <f t="shared" si="7"/>
        <v>86532.623077734359</v>
      </c>
      <c r="K25" s="43">
        <f t="shared" si="7"/>
        <v>91343.004231621075</v>
      </c>
      <c r="L25" s="43">
        <f t="shared" si="7"/>
        <v>97593.904443202133</v>
      </c>
      <c r="M25" s="43">
        <f t="shared" si="7"/>
        <v>105357.34966536224</v>
      </c>
      <c r="N25" s="43"/>
    </row>
    <row r="26" spans="1:14" x14ac:dyDescent="0.25">
      <c r="A26" s="40" t="s">
        <v>197</v>
      </c>
      <c r="B26" s="42">
        <f t="shared" ref="B26:M26" si="8">B25+B23-B24</f>
        <v>73000</v>
      </c>
      <c r="C26" s="42">
        <f t="shared" si="8"/>
        <v>72300</v>
      </c>
      <c r="D26" s="42">
        <f t="shared" si="8"/>
        <v>72798.75</v>
      </c>
      <c r="E26" s="42">
        <f t="shared" si="8"/>
        <v>74372.4375</v>
      </c>
      <c r="F26" s="42">
        <f t="shared" si="8"/>
        <v>77074.809375000012</v>
      </c>
      <c r="G26" s="42">
        <f t="shared" si="8"/>
        <v>80962.299843750006</v>
      </c>
      <c r="H26" s="42">
        <f t="shared" si="8"/>
        <v>83094.164835937496</v>
      </c>
      <c r="I26" s="42">
        <f t="shared" si="8"/>
        <v>86532.623077734359</v>
      </c>
      <c r="J26" s="42">
        <f t="shared" si="8"/>
        <v>91343.004231621075</v>
      </c>
      <c r="K26" s="42">
        <f t="shared" si="8"/>
        <v>97593.904443202133</v>
      </c>
      <c r="L26" s="42">
        <f t="shared" si="8"/>
        <v>105357.34966536224</v>
      </c>
      <c r="M26" s="42">
        <f t="shared" si="8"/>
        <v>114708.96714863037</v>
      </c>
      <c r="N26" s="42">
        <f>M26</f>
        <v>114708.96714863037</v>
      </c>
    </row>
    <row r="27" spans="1:14" x14ac:dyDescent="0.25">
      <c r="A27" s="21" t="s">
        <v>198</v>
      </c>
      <c r="B27" s="44">
        <f t="shared" ref="B27:M27" si="9">IF(B23&gt;=0,1,0)</f>
        <v>0</v>
      </c>
      <c r="C27" s="44">
        <f t="shared" si="9"/>
        <v>0</v>
      </c>
      <c r="D27" s="44">
        <f t="shared" si="9"/>
        <v>1</v>
      </c>
      <c r="E27" s="44">
        <f t="shared" si="9"/>
        <v>1</v>
      </c>
      <c r="F27" s="44">
        <f t="shared" si="9"/>
        <v>1</v>
      </c>
      <c r="G27" s="44">
        <f t="shared" si="9"/>
        <v>1</v>
      </c>
      <c r="H27" s="44">
        <f t="shared" si="9"/>
        <v>1</v>
      </c>
      <c r="I27" s="44">
        <f t="shared" si="9"/>
        <v>1</v>
      </c>
      <c r="J27" s="44">
        <f t="shared" si="9"/>
        <v>1</v>
      </c>
      <c r="K27" s="44">
        <f t="shared" si="9"/>
        <v>1</v>
      </c>
      <c r="L27" s="44">
        <f t="shared" si="9"/>
        <v>1</v>
      </c>
      <c r="M27" s="44">
        <f t="shared" si="9"/>
        <v>1</v>
      </c>
      <c r="N27" s="44"/>
    </row>
    <row r="29" spans="1:14" x14ac:dyDescent="0.25">
      <c r="A29" s="8" t="s">
        <v>199</v>
      </c>
    </row>
    <row r="30" spans="1:14" x14ac:dyDescent="0.25">
      <c r="A30" s="45" t="s">
        <v>200</v>
      </c>
      <c r="B30" s="51" t="str">
        <f>IFERROR("In "&amp;INDEX(B18:M18,MATCH(1,B27:M27,0)),"Not within 12 months")</f>
        <v>In Mar</v>
      </c>
      <c r="C30" s="51"/>
      <c r="D30" s="51"/>
      <c r="E30" s="51"/>
    </row>
    <row r="31" spans="1:14" x14ac:dyDescent="0.25">
      <c r="A31" s="45" t="s">
        <v>201</v>
      </c>
      <c r="B31" s="52">
        <f>M26</f>
        <v>114708.96714863037</v>
      </c>
      <c r="C31" s="52"/>
      <c r="D31" s="52"/>
      <c r="E31" s="52"/>
    </row>
    <row r="32" spans="1:14" x14ac:dyDescent="0.25">
      <c r="A32" s="45" t="s">
        <v>202</v>
      </c>
      <c r="B32" s="52">
        <f>MIN(B26:M26)</f>
        <v>72300</v>
      </c>
      <c r="C32" s="52"/>
      <c r="D32" s="52"/>
      <c r="E32" s="52"/>
    </row>
    <row r="33" spans="1:14" x14ac:dyDescent="0.25">
      <c r="A33" s="45" t="s">
        <v>203</v>
      </c>
      <c r="B33" s="51" t="str">
        <f>INDEX(B18:M18,MATCH(MIN(B26:M26),B26:M26,0))</f>
        <v>Feb</v>
      </c>
      <c r="C33" s="51"/>
      <c r="D33" s="51"/>
      <c r="E33" s="51"/>
    </row>
    <row r="34" spans="1:14" x14ac:dyDescent="0.25">
      <c r="A34" s="45" t="s">
        <v>204</v>
      </c>
      <c r="B34" s="52">
        <f>N23</f>
        <v>53845.289531507187</v>
      </c>
      <c r="C34" s="52"/>
      <c r="D34" s="52"/>
      <c r="E34" s="52"/>
    </row>
    <row r="35" spans="1:14" x14ac:dyDescent="0.25">
      <c r="A35" s="45" t="s">
        <v>205</v>
      </c>
      <c r="B35" s="53">
        <f>N24</f>
        <v>14136.322382876797</v>
      </c>
      <c r="C35" s="53"/>
      <c r="D35" s="53"/>
      <c r="E35" s="53"/>
    </row>
    <row r="36" spans="1:14" x14ac:dyDescent="0.25">
      <c r="A36" s="45" t="s">
        <v>206</v>
      </c>
      <c r="B36" s="51" t="str">
        <f>IF(MIN(B26:M26)&gt;=0,"Yes — cash stays positive all year","Caution — cash goes negative; adjust the plan")</f>
        <v>Yes — cash stays positive all year</v>
      </c>
      <c r="C36" s="51"/>
      <c r="D36" s="51"/>
      <c r="E36" s="51"/>
    </row>
    <row r="38" spans="1:14" ht="39.75" customHeight="1" x14ac:dyDescent="0.25">
      <c r="A38" s="49" t="s">
        <v>207</v>
      </c>
      <c r="B38" s="49"/>
      <c r="C38" s="49"/>
      <c r="D38" s="49"/>
      <c r="E38" s="49"/>
      <c r="F38" s="49"/>
      <c r="G38" s="49"/>
      <c r="H38" s="49"/>
      <c r="I38" s="49"/>
      <c r="J38" s="49"/>
      <c r="K38" s="49"/>
      <c r="L38" s="49"/>
      <c r="M38" s="49"/>
      <c r="N38" s="49"/>
    </row>
    <row r="40" spans="1:14" ht="30" customHeight="1" x14ac:dyDescent="0.25">
      <c r="A40" s="3" t="s">
        <v>208</v>
      </c>
      <c r="B40" s="3"/>
      <c r="C40" s="3"/>
      <c r="D40" s="3"/>
      <c r="E40" s="3"/>
      <c r="F40" s="3"/>
      <c r="G40" s="3"/>
      <c r="H40" s="3"/>
      <c r="I40" s="3"/>
      <c r="J40" s="3"/>
      <c r="K40" s="3"/>
      <c r="L40" s="3"/>
      <c r="M40" s="3"/>
      <c r="N40" s="3"/>
    </row>
  </sheetData>
  <sheetProtection sheet="1" formatColumns="0" formatRows="0"/>
  <mergeCells count="10">
    <mergeCell ref="B35:E35"/>
    <mergeCell ref="B36:E36"/>
    <mergeCell ref="A38:N38"/>
    <mergeCell ref="A40:N40"/>
    <mergeCell ref="A2:N2"/>
    <mergeCell ref="B30:E30"/>
    <mergeCell ref="B31:E31"/>
    <mergeCell ref="B32:E32"/>
    <mergeCell ref="B33:E33"/>
    <mergeCell ref="B34:E34"/>
  </mergeCells>
  <conditionalFormatting sqref="B23:N23">
    <cfRule type="expression" dxfId="1" priority="2">
      <formula>AND(ISNUMBER(B23),B23&lt;0)</formula>
    </cfRule>
  </conditionalFormatting>
  <conditionalFormatting sqref="B26:N26">
    <cfRule type="expression" dxfId="0" priority="3">
      <formula>AND(ISNUMBER(B26),B26&lt;0)</formula>
    </cfRule>
  </conditionalFormatting>
  <dataValidations count="3">
    <dataValidation type="list" promptTitle="Growth scenario" prompt="1 = Careful, 2 = Base, 3 = Stretch" sqref="B5" xr:uid="{00000000-0002-0000-0600-000000000000}">
      <formula1>"1,2,3"</formula1>
      <formula2>0</formula2>
    </dataValidation>
    <dataValidation type="whole" showErrorMessage="1" error="Start month must be between 1 and 12." promptTitle="Start month" prompt="Enter a month number from 1 (Jan) to 12 (Dec)" sqref="B12" xr:uid="{00000000-0002-0000-0600-000001000000}">
      <formula1>1</formula1>
      <formula2>12</formula2>
    </dataValidation>
    <dataValidation type="decimal" showErrorMessage="1" error="Enter a percentage between 0% and 100% (e.g., 5%)." promptTitle="Percentage" prompt="Enter a percentage between 0% and 100%" sqref="B6:B9 B14" xr:uid="{00000000-0002-0000-0600-000002000000}">
      <formula1>0</formula1>
      <formula2>1</formula2>
    </dataValidation>
  </dataValidations>
  <pageMargins left="0.75" right="0.75" top="1" bottom="1" header="0.511811023622047" footer="0.511811023622047"/>
  <pageSetup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6"/>
  <sheetViews>
    <sheetView zoomScaleNormal="100" workbookViewId="0">
      <pane ySplit="4" topLeftCell="A5" activePane="bottomLeft" state="frozen"/>
      <selection pane="bottomLeft" activeCell="F19" sqref="F19"/>
    </sheetView>
  </sheetViews>
  <sheetFormatPr defaultColWidth="8.7109375" defaultRowHeight="15" x14ac:dyDescent="0.25"/>
  <cols>
    <col min="1" max="1" width="43" customWidth="1"/>
    <col min="2" max="2" width="34" customWidth="1"/>
    <col min="3" max="3" width="40" customWidth="1"/>
    <col min="4" max="4" width="16" customWidth="1"/>
    <col min="5" max="5" width="14" customWidth="1"/>
    <col min="6" max="6" width="36" customWidth="1"/>
  </cols>
  <sheetData>
    <row r="1" spans="1:6" ht="18" x14ac:dyDescent="0.25">
      <c r="A1" s="4" t="s">
        <v>209</v>
      </c>
    </row>
    <row r="2" spans="1:6" x14ac:dyDescent="0.25">
      <c r="A2" s="50" t="s">
        <v>210</v>
      </c>
      <c r="B2" s="50"/>
      <c r="C2" s="50"/>
      <c r="D2" s="50"/>
      <c r="E2" s="50"/>
      <c r="F2" s="50"/>
    </row>
    <row r="4" spans="1:6" x14ac:dyDescent="0.25">
      <c r="A4" s="11" t="s">
        <v>211</v>
      </c>
      <c r="B4" s="11" t="s">
        <v>212</v>
      </c>
      <c r="C4" s="11" t="s">
        <v>213</v>
      </c>
      <c r="D4" s="11" t="s">
        <v>108</v>
      </c>
      <c r="E4" s="11" t="s">
        <v>214</v>
      </c>
      <c r="F4" s="11" t="s">
        <v>215</v>
      </c>
    </row>
    <row r="5" spans="1:6" ht="30" customHeight="1" x14ac:dyDescent="0.25">
      <c r="A5" s="14" t="s">
        <v>216</v>
      </c>
      <c r="B5" s="15" t="s">
        <v>217</v>
      </c>
      <c r="C5" s="15" t="s">
        <v>218</v>
      </c>
      <c r="D5" s="16"/>
      <c r="E5" s="16"/>
      <c r="F5" s="16"/>
    </row>
    <row r="6" spans="1:6" ht="30" customHeight="1" x14ac:dyDescent="0.25">
      <c r="A6" s="14" t="s">
        <v>219</v>
      </c>
      <c r="B6" s="15" t="s">
        <v>220</v>
      </c>
      <c r="C6" s="15" t="s">
        <v>221</v>
      </c>
      <c r="D6" s="16"/>
      <c r="E6" s="16"/>
      <c r="F6" s="16"/>
    </row>
    <row r="7" spans="1:6" ht="30" customHeight="1" x14ac:dyDescent="0.25">
      <c r="A7" s="14" t="s">
        <v>222</v>
      </c>
      <c r="B7" s="15" t="s">
        <v>223</v>
      </c>
      <c r="C7" s="15" t="s">
        <v>224</v>
      </c>
      <c r="D7" s="16"/>
      <c r="E7" s="16"/>
      <c r="F7" s="16"/>
    </row>
    <row r="8" spans="1:6" ht="30" customHeight="1" x14ac:dyDescent="0.25">
      <c r="A8" s="14" t="s">
        <v>225</v>
      </c>
      <c r="B8" s="15" t="s">
        <v>226</v>
      </c>
      <c r="C8" s="15" t="s">
        <v>227</v>
      </c>
      <c r="D8" s="16"/>
      <c r="E8" s="16"/>
      <c r="F8" s="16"/>
    </row>
    <row r="9" spans="1:6" ht="30" customHeight="1" x14ac:dyDescent="0.25">
      <c r="A9" s="14" t="s">
        <v>228</v>
      </c>
      <c r="B9" s="15" t="s">
        <v>229</v>
      </c>
      <c r="C9" s="15" t="s">
        <v>230</v>
      </c>
      <c r="D9" s="16"/>
      <c r="E9" s="16"/>
      <c r="F9" s="16"/>
    </row>
    <row r="10" spans="1:6" ht="30" customHeight="1" x14ac:dyDescent="0.25">
      <c r="A10" s="14" t="s">
        <v>231</v>
      </c>
      <c r="B10" s="15" t="s">
        <v>232</v>
      </c>
      <c r="C10" s="15" t="s">
        <v>233</v>
      </c>
      <c r="D10" s="16"/>
      <c r="E10" s="16"/>
      <c r="F10" s="16"/>
    </row>
    <row r="11" spans="1:6" ht="30" customHeight="1" x14ac:dyDescent="0.25">
      <c r="A11" s="14" t="s">
        <v>234</v>
      </c>
      <c r="B11" s="15" t="s">
        <v>235</v>
      </c>
      <c r="C11" s="15" t="s">
        <v>236</v>
      </c>
      <c r="D11" s="16"/>
      <c r="E11" s="16"/>
      <c r="F11" s="16"/>
    </row>
    <row r="13" spans="1:6" x14ac:dyDescent="0.25">
      <c r="A13" s="6" t="s">
        <v>237</v>
      </c>
    </row>
    <row r="14" spans="1:6" ht="24" customHeight="1" x14ac:dyDescent="0.25">
      <c r="A14" s="19" t="s">
        <v>238</v>
      </c>
      <c r="B14" s="1"/>
      <c r="C14" s="1"/>
      <c r="D14" s="1"/>
      <c r="E14" s="1"/>
      <c r="F14" s="1"/>
    </row>
    <row r="15" spans="1:6" ht="24" customHeight="1" x14ac:dyDescent="0.25">
      <c r="A15" s="19" t="s">
        <v>239</v>
      </c>
      <c r="B15" s="1"/>
      <c r="C15" s="1"/>
      <c r="D15" s="1"/>
      <c r="E15" s="1"/>
      <c r="F15" s="1"/>
    </row>
    <row r="16" spans="1:6" ht="24" customHeight="1" x14ac:dyDescent="0.25">
      <c r="A16" s="19" t="s">
        <v>240</v>
      </c>
      <c r="B16" s="1"/>
      <c r="C16" s="1"/>
      <c r="D16" s="1"/>
      <c r="E16" s="1"/>
      <c r="F16" s="1"/>
    </row>
  </sheetData>
  <sheetProtection sheet="1" formatColumns="0" formatRows="0"/>
  <mergeCells count="4">
    <mergeCell ref="B14:F14"/>
    <mergeCell ref="B15:F15"/>
    <mergeCell ref="B16:F16"/>
    <mergeCell ref="A2:F2"/>
  </mergeCells>
  <dataValidations count="2">
    <dataValidation type="list" allowBlank="1" sqref="D5:D11" xr:uid="{00000000-0002-0000-0700-000000000000}">
      <formula1>"Reviewed,Needs attention,Not reviewed"</formula1>
      <formula2>0</formula2>
    </dataValidation>
    <dataValidation type="list" allowBlank="1" sqref="E5:E11" xr:uid="{00000000-0002-0000-0700-000001000000}">
      <formula1>"Founder,Bookkeeper,CPA,Operations,Payroll,Store manager"</formula1>
      <formula2>0</formula2>
    </dataValidation>
  </dataValidations>
  <pageMargins left="0.75" right="0.75" top="1" bottom="1" header="0.511811023622047" footer="0.511811023622047"/>
  <pageSetup fitToHeight="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20"/>
  <sheetViews>
    <sheetView zoomScaleNormal="100" workbookViewId="0">
      <pane ySplit="4" topLeftCell="A5" activePane="bottomLeft" state="frozen"/>
      <selection pane="bottomLeft" activeCell="I20" sqref="I20"/>
    </sheetView>
  </sheetViews>
  <sheetFormatPr defaultColWidth="8.7109375" defaultRowHeight="15" x14ac:dyDescent="0.25"/>
  <cols>
    <col min="1" max="1" width="26" customWidth="1"/>
    <col min="2" max="3" width="52" customWidth="1"/>
  </cols>
  <sheetData>
    <row r="1" spans="1:3" ht="18" x14ac:dyDescent="0.25">
      <c r="A1" s="4" t="s">
        <v>241</v>
      </c>
    </row>
    <row r="2" spans="1:3" x14ac:dyDescent="0.25">
      <c r="A2" s="50" t="s">
        <v>286</v>
      </c>
      <c r="B2" s="50"/>
      <c r="C2" s="50"/>
    </row>
    <row r="4" spans="1:3" x14ac:dyDescent="0.25">
      <c r="A4" s="11" t="s">
        <v>242</v>
      </c>
      <c r="B4" s="11" t="s">
        <v>243</v>
      </c>
      <c r="C4" s="11" t="s">
        <v>244</v>
      </c>
    </row>
    <row r="5" spans="1:3" x14ac:dyDescent="0.25">
      <c r="A5" s="14" t="s">
        <v>138</v>
      </c>
      <c r="B5" s="15" t="s">
        <v>245</v>
      </c>
      <c r="C5" s="15" t="s">
        <v>246</v>
      </c>
    </row>
    <row r="6" spans="1:3" x14ac:dyDescent="0.25">
      <c r="A6" s="14" t="s">
        <v>247</v>
      </c>
      <c r="B6" s="15" t="s">
        <v>248</v>
      </c>
      <c r="C6" s="15" t="s">
        <v>249</v>
      </c>
    </row>
    <row r="7" spans="1:3" x14ac:dyDescent="0.25">
      <c r="A7" s="14" t="s">
        <v>139</v>
      </c>
      <c r="B7" s="15" t="s">
        <v>250</v>
      </c>
      <c r="C7" s="15" t="s">
        <v>251</v>
      </c>
    </row>
    <row r="8" spans="1:3" x14ac:dyDescent="0.25">
      <c r="A8" s="14" t="s">
        <v>140</v>
      </c>
      <c r="B8" s="15" t="s">
        <v>252</v>
      </c>
      <c r="C8" s="15" t="s">
        <v>253</v>
      </c>
    </row>
    <row r="9" spans="1:3" x14ac:dyDescent="0.25">
      <c r="A9" s="14" t="s">
        <v>141</v>
      </c>
      <c r="B9" s="15" t="s">
        <v>254</v>
      </c>
      <c r="C9" s="15" t="s">
        <v>255</v>
      </c>
    </row>
    <row r="10" spans="1:3" x14ac:dyDescent="0.25">
      <c r="A10" s="14" t="s">
        <v>256</v>
      </c>
      <c r="B10" s="15" t="s">
        <v>257</v>
      </c>
      <c r="C10" s="15" t="s">
        <v>258</v>
      </c>
    </row>
    <row r="11" spans="1:3" x14ac:dyDescent="0.25">
      <c r="A11" s="14" t="s">
        <v>259</v>
      </c>
      <c r="B11" s="15" t="s">
        <v>260</v>
      </c>
      <c r="C11" s="15" t="s">
        <v>261</v>
      </c>
    </row>
    <row r="12" spans="1:3" x14ac:dyDescent="0.25">
      <c r="A12" s="14" t="s">
        <v>262</v>
      </c>
      <c r="B12" s="15" t="s">
        <v>263</v>
      </c>
      <c r="C12" s="15" t="s">
        <v>264</v>
      </c>
    </row>
    <row r="13" spans="1:3" x14ac:dyDescent="0.25">
      <c r="A13" s="14" t="s">
        <v>46</v>
      </c>
      <c r="B13" s="15" t="s">
        <v>265</v>
      </c>
      <c r="C13" s="15" t="s">
        <v>266</v>
      </c>
    </row>
    <row r="14" spans="1:3" x14ac:dyDescent="0.25">
      <c r="A14" s="14" t="s">
        <v>55</v>
      </c>
      <c r="B14" s="15" t="s">
        <v>267</v>
      </c>
      <c r="C14" s="15" t="s">
        <v>268</v>
      </c>
    </row>
    <row r="15" spans="1:3" x14ac:dyDescent="0.25">
      <c r="A15" s="14" t="s">
        <v>269</v>
      </c>
      <c r="B15" s="15" t="s">
        <v>270</v>
      </c>
      <c r="C15" s="15" t="s">
        <v>271</v>
      </c>
    </row>
    <row r="16" spans="1:3" x14ac:dyDescent="0.25">
      <c r="A16" s="14" t="s">
        <v>145</v>
      </c>
      <c r="B16" s="15" t="s">
        <v>272</v>
      </c>
      <c r="C16" s="15" t="s">
        <v>273</v>
      </c>
    </row>
    <row r="17" spans="1:3" x14ac:dyDescent="0.25">
      <c r="A17" s="14" t="s">
        <v>62</v>
      </c>
      <c r="B17" s="15" t="s">
        <v>274</v>
      </c>
      <c r="C17" s="15" t="s">
        <v>275</v>
      </c>
    </row>
    <row r="18" spans="1:3" ht="63.75" x14ac:dyDescent="0.25">
      <c r="A18" s="14" t="s">
        <v>276</v>
      </c>
      <c r="B18" s="15" t="s">
        <v>277</v>
      </c>
      <c r="C18" s="15" t="s">
        <v>278</v>
      </c>
    </row>
    <row r="19" spans="1:3" ht="63.75" x14ac:dyDescent="0.25">
      <c r="A19" s="14" t="s">
        <v>279</v>
      </c>
      <c r="B19" s="15" t="s">
        <v>280</v>
      </c>
      <c r="C19" s="15" t="s">
        <v>281</v>
      </c>
    </row>
    <row r="20" spans="1:3" x14ac:dyDescent="0.25">
      <c r="A20" s="14" t="s">
        <v>282</v>
      </c>
      <c r="B20" s="15" t="s">
        <v>283</v>
      </c>
      <c r="C20" s="15" t="s">
        <v>284</v>
      </c>
    </row>
  </sheetData>
  <sheetProtection sheet="1" formatColumns="0" formatRows="0"/>
  <mergeCells count="1">
    <mergeCell ref="A2:C2"/>
  </mergeCells>
  <pageMargins left="0.75" right="0.75" top="1" bottom="1" header="0.511811023622047" footer="0.511811023622047"/>
  <pageSetup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Start Here</vt:lpstr>
      <vt:lpstr>Meet Green Peak</vt:lpstr>
      <vt:lpstr>1. Tech Stack</vt:lpstr>
      <vt:lpstr>2. Tax Readiness</vt:lpstr>
      <vt:lpstr>3. KPI Dashboard</vt:lpstr>
      <vt:lpstr>4. Break-Even</vt:lpstr>
      <vt:lpstr>5. Projection</vt:lpstr>
      <vt:lpstr>6. CEO Monthly Review</vt:lpstr>
      <vt:lpstr>Definitions</vt:lpstr>
      <vt:lpstr>'3. KPI Dashboard'!Print_Area</vt:lpstr>
      <vt:lpstr>'5. Projection'!Print_Area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Faith  Anderson</cp:lastModifiedBy>
  <cp:revision>0</cp:revision>
  <dcterms:created xsi:type="dcterms:W3CDTF">2026-07-21T00:51:13Z</dcterms:created>
  <dcterms:modified xsi:type="dcterms:W3CDTF">2026-07-21T01:34:50Z</dcterms:modified>
  <dc:language>en-US</dc:language>
</cp:coreProperties>
</file>